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Dropbox\Gabriel\Missions nationales\Mission 1\2023\IAS\Opportunité HdM\"/>
    </mc:Choice>
  </mc:AlternateContent>
  <bookViews>
    <workbookView xWindow="0" yWindow="0" windowWidth="24000" windowHeight="9345" tabRatio="820"/>
  </bookViews>
  <sheets>
    <sheet name="Etablissement" sheetId="1" r:id="rId1"/>
    <sheet name="Relevé des soins" sheetId="2" r:id="rId2"/>
    <sheet name="Visites" sheetId="4" r:id="rId3"/>
    <sheet name="codage" sheetId="6" state="hidden" r:id="rId4"/>
    <sheet name="liste ehpad" sheetId="5" state="hidden" r:id="rId5"/>
  </sheets>
  <definedNames>
    <definedName name="_xlnm._FilterDatabase" localSheetId="4" hidden="1">'liste ehpad'!$A$1:$C$7472</definedName>
    <definedName name="_xlnm._FilterDatabase" localSheetId="1" hidden="1">'Relevé des soins'!$A$5:$N$5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7472" i="5"/>
  <c r="A7472" i="5"/>
  <c r="B7471" i="5"/>
  <c r="A7471" i="5"/>
  <c r="B7470" i="5"/>
  <c r="A7470" i="5"/>
  <c r="B7469" i="5"/>
  <c r="A7469" i="5"/>
  <c r="B7468" i="5"/>
  <c r="A7468" i="5"/>
  <c r="B7467" i="5"/>
  <c r="A7467" i="5"/>
  <c r="B7466" i="5"/>
  <c r="A7466" i="5"/>
  <c r="B7465" i="5"/>
  <c r="A7465" i="5"/>
  <c r="B7464" i="5"/>
  <c r="A7464" i="5"/>
  <c r="B7463" i="5"/>
  <c r="A7463" i="5"/>
  <c r="B7462" i="5"/>
  <c r="A7462" i="5"/>
  <c r="B7461" i="5"/>
  <c r="A7461" i="5"/>
  <c r="B7460" i="5"/>
  <c r="A7460" i="5"/>
  <c r="B7459" i="5"/>
  <c r="A7459" i="5"/>
  <c r="B7458" i="5"/>
  <c r="A7458" i="5"/>
  <c r="B7457" i="5"/>
  <c r="A7457" i="5"/>
  <c r="B7456" i="5"/>
  <c r="A7456" i="5"/>
  <c r="B7455" i="5"/>
  <c r="A7455" i="5"/>
  <c r="B7454" i="5"/>
  <c r="A7454" i="5"/>
  <c r="B7453" i="5"/>
  <c r="A7453" i="5"/>
  <c r="B7452" i="5"/>
  <c r="A7452" i="5"/>
  <c r="B7451" i="5"/>
  <c r="A7451" i="5"/>
  <c r="B7450" i="5"/>
  <c r="A7450" i="5"/>
  <c r="B7449" i="5"/>
  <c r="A7449" i="5"/>
  <c r="B7448" i="5"/>
  <c r="A7448" i="5"/>
  <c r="B7447" i="5"/>
  <c r="A7447" i="5"/>
  <c r="B7446" i="5"/>
  <c r="A7446" i="5"/>
  <c r="B7445" i="5"/>
  <c r="A7445" i="5"/>
  <c r="B7444" i="5"/>
  <c r="A7444" i="5"/>
  <c r="B7443" i="5"/>
  <c r="A7443" i="5"/>
  <c r="B7442" i="5"/>
  <c r="A7442" i="5"/>
  <c r="B7441" i="5"/>
  <c r="A7441" i="5"/>
  <c r="B7440" i="5"/>
  <c r="A7440" i="5"/>
  <c r="B7439" i="5"/>
  <c r="A7439" i="5"/>
  <c r="B7438" i="5"/>
  <c r="A7438" i="5"/>
  <c r="B7437" i="5"/>
  <c r="A7437" i="5"/>
  <c r="B7436" i="5"/>
  <c r="A7436" i="5"/>
  <c r="B7435" i="5"/>
  <c r="A7435" i="5"/>
  <c r="B7434" i="5"/>
  <c r="A7434" i="5"/>
  <c r="B7433" i="5"/>
  <c r="A7433" i="5"/>
  <c r="B7432" i="5"/>
  <c r="A7432" i="5"/>
  <c r="B7431" i="5"/>
  <c r="A7431" i="5"/>
  <c r="B7430" i="5"/>
  <c r="A7430" i="5"/>
  <c r="B7429" i="5"/>
  <c r="A7429" i="5"/>
  <c r="B7428" i="5"/>
  <c r="A7428" i="5"/>
  <c r="B7427" i="5"/>
  <c r="A7427" i="5"/>
  <c r="B7426" i="5"/>
  <c r="A7426" i="5"/>
  <c r="B7425" i="5"/>
  <c r="A7425" i="5"/>
  <c r="B7424" i="5"/>
  <c r="A7424" i="5"/>
  <c r="B7423" i="5"/>
  <c r="A7423" i="5"/>
  <c r="B7422" i="5"/>
  <c r="A7422" i="5"/>
  <c r="B7421" i="5"/>
  <c r="A7421" i="5"/>
  <c r="B7420" i="5"/>
  <c r="A7420" i="5"/>
  <c r="B7419" i="5"/>
  <c r="A7419" i="5"/>
  <c r="B7418" i="5"/>
  <c r="A7418" i="5"/>
  <c r="B7417" i="5"/>
  <c r="A7417" i="5"/>
  <c r="B7416" i="5"/>
  <c r="A7416" i="5"/>
  <c r="B7415" i="5"/>
  <c r="A7415" i="5"/>
  <c r="B7414" i="5"/>
  <c r="A7414" i="5"/>
  <c r="B7413" i="5"/>
  <c r="A7413" i="5"/>
  <c r="B7412" i="5"/>
  <c r="A7412" i="5"/>
  <c r="B7411" i="5"/>
  <c r="A7411" i="5"/>
  <c r="B7410" i="5"/>
  <c r="A7410" i="5"/>
  <c r="B7409" i="5"/>
  <c r="A7409" i="5"/>
  <c r="B7408" i="5"/>
  <c r="A7408" i="5"/>
  <c r="B7407" i="5"/>
  <c r="A7407" i="5"/>
  <c r="B7406" i="5"/>
  <c r="A7406" i="5"/>
  <c r="B7405" i="5"/>
  <c r="A7405" i="5"/>
  <c r="B7404" i="5"/>
  <c r="A7404" i="5"/>
  <c r="B7403" i="5"/>
  <c r="A7403" i="5"/>
  <c r="B7402" i="5"/>
  <c r="A7402" i="5"/>
  <c r="B7401" i="5"/>
  <c r="A7401" i="5"/>
  <c r="B7400" i="5"/>
  <c r="A7400" i="5"/>
  <c r="B7399" i="5"/>
  <c r="A7399" i="5"/>
  <c r="B7398" i="5"/>
  <c r="A7398" i="5"/>
  <c r="B7397" i="5"/>
  <c r="A7397" i="5"/>
  <c r="B7396" i="5"/>
  <c r="A7396" i="5"/>
  <c r="B7395" i="5"/>
  <c r="A7395" i="5"/>
  <c r="B7394" i="5"/>
  <c r="A7394" i="5"/>
  <c r="B7393" i="5"/>
  <c r="A7393" i="5"/>
  <c r="B7392" i="5"/>
  <c r="A7392" i="5"/>
  <c r="B7391" i="5"/>
  <c r="A7391" i="5"/>
  <c r="B7390" i="5"/>
  <c r="A7390" i="5"/>
  <c r="B7389" i="5"/>
  <c r="A7389" i="5"/>
  <c r="B7388" i="5"/>
  <c r="A7388" i="5"/>
  <c r="B7387" i="5"/>
  <c r="A7387" i="5"/>
  <c r="B7386" i="5"/>
  <c r="A7386" i="5"/>
  <c r="B7385" i="5"/>
  <c r="A7385" i="5"/>
  <c r="B7384" i="5"/>
  <c r="A7384" i="5"/>
  <c r="B7383" i="5"/>
  <c r="A7383" i="5"/>
  <c r="B7382" i="5"/>
  <c r="A7382" i="5"/>
  <c r="B7381" i="5"/>
  <c r="A7381" i="5"/>
  <c r="B7380" i="5"/>
  <c r="A7380" i="5"/>
  <c r="B7379" i="5"/>
  <c r="A7379" i="5"/>
  <c r="B7378" i="5"/>
  <c r="A7378" i="5"/>
  <c r="B7377" i="5"/>
  <c r="A7377" i="5"/>
  <c r="B7376" i="5"/>
  <c r="A7376" i="5"/>
  <c r="B7375" i="5"/>
  <c r="A7375" i="5"/>
  <c r="B7374" i="5"/>
  <c r="A7374" i="5"/>
  <c r="B7373" i="5"/>
  <c r="A7373" i="5"/>
  <c r="B7372" i="5"/>
  <c r="A7372" i="5"/>
  <c r="B7371" i="5"/>
  <c r="A7371" i="5"/>
  <c r="B7370" i="5"/>
  <c r="A7370" i="5"/>
  <c r="B7369" i="5"/>
  <c r="A7369" i="5"/>
  <c r="B7368" i="5"/>
  <c r="A7368" i="5"/>
  <c r="B7367" i="5"/>
  <c r="A7367" i="5"/>
  <c r="B7366" i="5"/>
  <c r="A7366" i="5"/>
  <c r="B7365" i="5"/>
  <c r="A7365" i="5"/>
  <c r="B7364" i="5"/>
  <c r="A7364" i="5"/>
  <c r="B7363" i="5"/>
  <c r="A7363" i="5"/>
  <c r="B7362" i="5"/>
  <c r="A7362" i="5"/>
  <c r="B7361" i="5"/>
  <c r="A7361" i="5"/>
  <c r="B7360" i="5"/>
  <c r="A7360" i="5"/>
  <c r="B7359" i="5"/>
  <c r="A7359" i="5"/>
  <c r="B7358" i="5"/>
  <c r="A7358" i="5"/>
  <c r="B7357" i="5"/>
  <c r="A7357" i="5"/>
  <c r="B7356" i="5"/>
  <c r="A7356" i="5"/>
  <c r="B7355" i="5"/>
  <c r="A7355" i="5"/>
  <c r="B7354" i="5"/>
  <c r="A7354" i="5"/>
  <c r="B7353" i="5"/>
  <c r="A7353" i="5"/>
  <c r="B7352" i="5"/>
  <c r="A7352" i="5"/>
  <c r="B7351" i="5"/>
  <c r="A7351" i="5"/>
  <c r="B7350" i="5"/>
  <c r="A7350" i="5"/>
  <c r="B7349" i="5"/>
  <c r="A7349" i="5"/>
  <c r="B7348" i="5"/>
  <c r="A7348" i="5"/>
  <c r="B7347" i="5"/>
  <c r="A7347" i="5"/>
  <c r="B7346" i="5"/>
  <c r="A7346" i="5"/>
  <c r="B7345" i="5"/>
  <c r="A7345" i="5"/>
  <c r="B7344" i="5"/>
  <c r="A7344" i="5"/>
  <c r="B7343" i="5"/>
  <c r="A7343" i="5"/>
  <c r="B7342" i="5"/>
  <c r="A7342" i="5"/>
  <c r="B7341" i="5"/>
  <c r="A7341" i="5"/>
  <c r="B7340" i="5"/>
  <c r="A7340" i="5"/>
  <c r="B7339" i="5"/>
  <c r="A7339" i="5"/>
  <c r="B7338" i="5"/>
  <c r="A7338" i="5"/>
  <c r="B7337" i="5"/>
  <c r="A7337" i="5"/>
  <c r="B7336" i="5"/>
  <c r="A7336" i="5"/>
  <c r="B7335" i="5"/>
  <c r="A7335" i="5"/>
  <c r="B7334" i="5"/>
  <c r="A7334" i="5"/>
  <c r="B7333" i="5"/>
  <c r="A7333" i="5"/>
  <c r="B7332" i="5"/>
  <c r="A7332" i="5"/>
  <c r="B7331" i="5"/>
  <c r="A7331" i="5"/>
  <c r="B7330" i="5"/>
  <c r="A7330" i="5"/>
  <c r="B7329" i="5"/>
  <c r="A7329" i="5"/>
  <c r="B7328" i="5"/>
  <c r="A7328" i="5"/>
  <c r="B7327" i="5"/>
  <c r="A7327" i="5"/>
  <c r="B7326" i="5"/>
  <c r="A7326" i="5"/>
  <c r="B7325" i="5"/>
  <c r="A7325" i="5"/>
  <c r="B7324" i="5"/>
  <c r="A7324" i="5"/>
  <c r="B7323" i="5"/>
  <c r="A7323" i="5"/>
  <c r="B7322" i="5"/>
  <c r="A7322" i="5"/>
  <c r="B7321" i="5"/>
  <c r="A7321" i="5"/>
  <c r="B7320" i="5"/>
  <c r="A7320" i="5"/>
  <c r="B7319" i="5"/>
  <c r="A7319" i="5"/>
  <c r="B7318" i="5"/>
  <c r="A7318" i="5"/>
  <c r="B7317" i="5"/>
  <c r="A7317" i="5"/>
  <c r="B7316" i="5"/>
  <c r="A7316" i="5"/>
  <c r="B7315" i="5"/>
  <c r="A7315" i="5"/>
  <c r="B7314" i="5"/>
  <c r="A7314" i="5"/>
  <c r="B7313" i="5"/>
  <c r="A7313" i="5"/>
  <c r="B7312" i="5"/>
  <c r="A7312" i="5"/>
  <c r="B7311" i="5"/>
  <c r="A7311" i="5"/>
  <c r="B7310" i="5"/>
  <c r="A7310" i="5"/>
  <c r="B7309" i="5"/>
  <c r="A7309" i="5"/>
  <c r="B7308" i="5"/>
  <c r="A7308" i="5"/>
  <c r="B7307" i="5"/>
  <c r="A7307" i="5"/>
  <c r="B7306" i="5"/>
  <c r="A7306" i="5"/>
  <c r="B7305" i="5"/>
  <c r="A7305" i="5"/>
  <c r="B7304" i="5"/>
  <c r="A7304" i="5"/>
  <c r="B7303" i="5"/>
  <c r="A7303" i="5"/>
  <c r="B7302" i="5"/>
  <c r="A7302" i="5"/>
  <c r="B7301" i="5"/>
  <c r="A7301" i="5"/>
  <c r="B7300" i="5"/>
  <c r="A7300" i="5"/>
  <c r="B7299" i="5"/>
  <c r="A7299" i="5"/>
  <c r="B7298" i="5"/>
  <c r="A7298" i="5"/>
  <c r="B7297" i="5"/>
  <c r="A7297" i="5"/>
  <c r="B7296" i="5"/>
  <c r="A7296" i="5"/>
  <c r="B7295" i="5"/>
  <c r="A7295" i="5"/>
  <c r="B7294" i="5"/>
  <c r="A7294" i="5"/>
  <c r="B7293" i="5"/>
  <c r="A7293" i="5"/>
  <c r="B7292" i="5"/>
  <c r="A7292" i="5"/>
  <c r="B7291" i="5"/>
  <c r="A7291" i="5"/>
  <c r="B7290" i="5"/>
  <c r="A7290" i="5"/>
  <c r="B7289" i="5"/>
  <c r="A7289" i="5"/>
  <c r="B7288" i="5"/>
  <c r="A7288" i="5"/>
  <c r="B7287" i="5"/>
  <c r="A7287" i="5"/>
  <c r="B7286" i="5"/>
  <c r="A7286" i="5"/>
  <c r="B7285" i="5"/>
  <c r="A7285" i="5"/>
  <c r="B7284" i="5"/>
  <c r="A7284" i="5"/>
  <c r="B7283" i="5"/>
  <c r="A7283" i="5"/>
  <c r="B7282" i="5"/>
  <c r="A7282" i="5"/>
  <c r="B7281" i="5"/>
  <c r="A7281" i="5"/>
  <c r="B7280" i="5"/>
  <c r="A7280" i="5"/>
  <c r="B7279" i="5"/>
  <c r="A7279" i="5"/>
  <c r="B7278" i="5"/>
  <c r="A7278" i="5"/>
  <c r="B7277" i="5"/>
  <c r="A7277" i="5"/>
  <c r="B7276" i="5"/>
  <c r="A7276" i="5"/>
  <c r="B7275" i="5"/>
  <c r="A7275" i="5"/>
  <c r="B7274" i="5"/>
  <c r="A7274" i="5"/>
  <c r="B7273" i="5"/>
  <c r="A7273" i="5"/>
  <c r="B7272" i="5"/>
  <c r="A7272" i="5"/>
  <c r="B7271" i="5"/>
  <c r="A7271" i="5"/>
  <c r="B7270" i="5"/>
  <c r="A7270" i="5"/>
  <c r="B7269" i="5"/>
  <c r="A7269" i="5"/>
  <c r="B7268" i="5"/>
  <c r="A7268" i="5"/>
  <c r="B7267" i="5"/>
  <c r="A7267" i="5"/>
  <c r="B7266" i="5"/>
  <c r="A7266" i="5"/>
  <c r="B7265" i="5"/>
  <c r="A7265" i="5"/>
  <c r="B7264" i="5"/>
  <c r="A7264" i="5"/>
  <c r="B7263" i="5"/>
  <c r="A7263" i="5"/>
  <c r="B7262" i="5"/>
  <c r="A7262" i="5"/>
  <c r="B7261" i="5"/>
  <c r="A7261" i="5"/>
  <c r="B7260" i="5"/>
  <c r="A7260" i="5"/>
  <c r="B7259" i="5"/>
  <c r="A7259" i="5"/>
  <c r="B7258" i="5"/>
  <c r="A7258" i="5"/>
  <c r="B7257" i="5"/>
  <c r="A7257" i="5"/>
  <c r="B7256" i="5"/>
  <c r="A7256" i="5"/>
  <c r="B7255" i="5"/>
  <c r="A7255" i="5"/>
  <c r="B7254" i="5"/>
  <c r="A7254" i="5"/>
  <c r="B7253" i="5"/>
  <c r="A7253" i="5"/>
  <c r="B7252" i="5"/>
  <c r="A7252" i="5"/>
  <c r="B7251" i="5"/>
  <c r="A7251" i="5"/>
  <c r="B7250" i="5"/>
  <c r="A7250" i="5"/>
  <c r="B7249" i="5"/>
  <c r="A7249" i="5"/>
  <c r="B7248" i="5"/>
  <c r="A7248" i="5"/>
  <c r="B7247" i="5"/>
  <c r="A7247" i="5"/>
  <c r="B7246" i="5"/>
  <c r="A7246" i="5"/>
  <c r="B7245" i="5"/>
  <c r="A7245" i="5"/>
  <c r="B7244" i="5"/>
  <c r="A7244" i="5"/>
  <c r="B7243" i="5"/>
  <c r="A7243" i="5"/>
  <c r="B7242" i="5"/>
  <c r="A7242" i="5"/>
  <c r="B7241" i="5"/>
  <c r="A7241" i="5"/>
  <c r="B7240" i="5"/>
  <c r="A7240" i="5"/>
  <c r="B7239" i="5"/>
  <c r="A7239" i="5"/>
  <c r="B7238" i="5"/>
  <c r="A7238" i="5"/>
  <c r="B7237" i="5"/>
  <c r="A7237" i="5"/>
  <c r="B7236" i="5"/>
  <c r="A7236" i="5"/>
  <c r="B7235" i="5"/>
  <c r="A7235" i="5"/>
  <c r="B7234" i="5"/>
  <c r="A7234" i="5"/>
  <c r="B7233" i="5"/>
  <c r="A7233" i="5"/>
  <c r="B7232" i="5"/>
  <c r="A7232" i="5"/>
  <c r="B7231" i="5"/>
  <c r="A7231" i="5"/>
  <c r="B7230" i="5"/>
  <c r="A7230" i="5"/>
  <c r="B7229" i="5"/>
  <c r="A7229" i="5"/>
  <c r="B7228" i="5"/>
  <c r="A7228" i="5"/>
  <c r="B7227" i="5"/>
  <c r="A7227" i="5"/>
  <c r="B7226" i="5"/>
  <c r="A7226" i="5"/>
  <c r="B7225" i="5"/>
  <c r="A7225" i="5"/>
  <c r="B7224" i="5"/>
  <c r="A7224" i="5"/>
  <c r="B7223" i="5"/>
  <c r="A7223" i="5"/>
  <c r="B7222" i="5"/>
  <c r="A7222" i="5"/>
  <c r="B7221" i="5"/>
  <c r="A7221" i="5"/>
  <c r="B7220" i="5"/>
  <c r="A7220" i="5"/>
  <c r="B7219" i="5"/>
  <c r="A7219" i="5"/>
  <c r="B7218" i="5"/>
  <c r="A7218" i="5"/>
  <c r="B7217" i="5"/>
  <c r="A7217" i="5"/>
  <c r="B7216" i="5"/>
  <c r="A7216" i="5"/>
  <c r="B7215" i="5"/>
  <c r="A7215" i="5"/>
  <c r="B7214" i="5"/>
  <c r="A7214" i="5"/>
  <c r="B7213" i="5"/>
  <c r="A7213" i="5"/>
  <c r="B7212" i="5"/>
  <c r="A7212" i="5"/>
  <c r="B7211" i="5"/>
  <c r="A7211" i="5"/>
  <c r="B7210" i="5"/>
  <c r="A7210" i="5"/>
  <c r="B7209" i="5"/>
  <c r="A7209" i="5"/>
  <c r="B7208" i="5"/>
  <c r="A7208" i="5"/>
  <c r="B7207" i="5"/>
  <c r="A7207" i="5"/>
  <c r="B7206" i="5"/>
  <c r="A7206" i="5"/>
  <c r="B7205" i="5"/>
  <c r="A7205" i="5"/>
  <c r="B7204" i="5"/>
  <c r="A7204" i="5"/>
  <c r="B7203" i="5"/>
  <c r="A7203" i="5"/>
  <c r="B7202" i="5"/>
  <c r="A7202" i="5"/>
  <c r="B7201" i="5"/>
  <c r="A7201" i="5"/>
  <c r="B7200" i="5"/>
  <c r="A7200" i="5"/>
  <c r="B7199" i="5"/>
  <c r="A7199" i="5"/>
  <c r="B7198" i="5"/>
  <c r="A7198" i="5"/>
  <c r="B7197" i="5"/>
  <c r="A7197" i="5"/>
  <c r="B7196" i="5"/>
  <c r="A7196" i="5"/>
  <c r="B7195" i="5"/>
  <c r="A7195" i="5"/>
  <c r="B7194" i="5"/>
  <c r="A7194" i="5"/>
  <c r="B7193" i="5"/>
  <c r="A7193" i="5"/>
  <c r="B7192" i="5"/>
  <c r="A7192" i="5"/>
  <c r="B7191" i="5"/>
  <c r="A7191" i="5"/>
  <c r="B7190" i="5"/>
  <c r="A7190" i="5"/>
  <c r="B7189" i="5"/>
  <c r="A7189" i="5"/>
  <c r="B7188" i="5"/>
  <c r="A7188" i="5"/>
  <c r="B7187" i="5"/>
  <c r="A7187" i="5"/>
  <c r="B7186" i="5"/>
  <c r="A7186" i="5"/>
  <c r="B7185" i="5"/>
  <c r="A7185" i="5"/>
  <c r="B7184" i="5"/>
  <c r="A7184" i="5"/>
  <c r="B7183" i="5"/>
  <c r="A7183" i="5"/>
  <c r="B7182" i="5"/>
  <c r="A7182" i="5"/>
  <c r="B7181" i="5"/>
  <c r="A7181" i="5"/>
  <c r="B7180" i="5"/>
  <c r="A7180" i="5"/>
  <c r="B7179" i="5"/>
  <c r="A7179" i="5"/>
  <c r="B7178" i="5"/>
  <c r="A7178" i="5"/>
  <c r="B7177" i="5"/>
  <c r="A7177" i="5"/>
  <c r="B7176" i="5"/>
  <c r="A7176" i="5"/>
  <c r="B7175" i="5"/>
  <c r="A7175" i="5"/>
  <c r="B7174" i="5"/>
  <c r="A7174" i="5"/>
  <c r="B7173" i="5"/>
  <c r="A7173" i="5"/>
  <c r="B7172" i="5"/>
  <c r="A7172" i="5"/>
  <c r="B7171" i="5"/>
  <c r="A7171" i="5"/>
  <c r="B7170" i="5"/>
  <c r="A7170" i="5"/>
  <c r="B7169" i="5"/>
  <c r="A7169" i="5"/>
  <c r="B7168" i="5"/>
  <c r="A7168" i="5"/>
  <c r="B7167" i="5"/>
  <c r="A7167" i="5"/>
  <c r="B7166" i="5"/>
  <c r="A7166" i="5"/>
  <c r="B7165" i="5"/>
  <c r="A7165" i="5"/>
  <c r="B7164" i="5"/>
  <c r="A7164" i="5"/>
  <c r="B7163" i="5"/>
  <c r="A7163" i="5"/>
  <c r="B7162" i="5"/>
  <c r="A7162" i="5"/>
  <c r="B7161" i="5"/>
  <c r="A7161" i="5"/>
  <c r="B7160" i="5"/>
  <c r="A7160" i="5"/>
  <c r="B7159" i="5"/>
  <c r="A7159" i="5"/>
  <c r="B7158" i="5"/>
  <c r="A7158" i="5"/>
  <c r="B7157" i="5"/>
  <c r="A7157" i="5"/>
  <c r="B7156" i="5"/>
  <c r="A7156" i="5"/>
  <c r="B7155" i="5"/>
  <c r="A7155" i="5"/>
  <c r="B7154" i="5"/>
  <c r="A7154" i="5"/>
  <c r="B7153" i="5"/>
  <c r="A7153" i="5"/>
  <c r="B7152" i="5"/>
  <c r="A7152" i="5"/>
  <c r="B7151" i="5"/>
  <c r="A7151" i="5"/>
  <c r="B7150" i="5"/>
  <c r="A7150" i="5"/>
  <c r="B7149" i="5"/>
  <c r="A7149" i="5"/>
  <c r="B7148" i="5"/>
  <c r="A7148" i="5"/>
  <c r="B7147" i="5"/>
  <c r="A7147" i="5"/>
  <c r="B7146" i="5"/>
  <c r="A7146" i="5"/>
  <c r="B7145" i="5"/>
  <c r="A7145" i="5"/>
  <c r="B7144" i="5"/>
  <c r="A7144" i="5"/>
  <c r="B7143" i="5"/>
  <c r="A7143" i="5"/>
  <c r="B7142" i="5"/>
  <c r="A7142" i="5"/>
  <c r="B7141" i="5"/>
  <c r="A7141" i="5"/>
  <c r="B7140" i="5"/>
  <c r="A7140" i="5"/>
  <c r="B7139" i="5"/>
  <c r="A7139" i="5"/>
  <c r="B7138" i="5"/>
  <c r="A7138" i="5"/>
  <c r="B7137" i="5"/>
  <c r="A7137" i="5"/>
  <c r="B7136" i="5"/>
  <c r="A7136" i="5"/>
  <c r="B7135" i="5"/>
  <c r="A7135" i="5"/>
  <c r="B7134" i="5"/>
  <c r="A7134" i="5"/>
  <c r="B7133" i="5"/>
  <c r="A7133" i="5"/>
  <c r="B7132" i="5"/>
  <c r="A7132" i="5"/>
  <c r="B7131" i="5"/>
  <c r="A7131" i="5"/>
  <c r="B7130" i="5"/>
  <c r="A7130" i="5"/>
  <c r="B7129" i="5"/>
  <c r="A7129" i="5"/>
  <c r="B7128" i="5"/>
  <c r="A7128" i="5"/>
  <c r="B7127" i="5"/>
  <c r="A7127" i="5"/>
  <c r="B7126" i="5"/>
  <c r="A7126" i="5"/>
  <c r="B7125" i="5"/>
  <c r="A7125" i="5"/>
  <c r="B7124" i="5"/>
  <c r="A7124" i="5"/>
  <c r="B7123" i="5"/>
  <c r="A7123" i="5"/>
  <c r="B7122" i="5"/>
  <c r="A7122" i="5"/>
  <c r="B7121" i="5"/>
  <c r="A7121" i="5"/>
  <c r="B7120" i="5"/>
  <c r="A7120" i="5"/>
  <c r="B7119" i="5"/>
  <c r="A7119" i="5"/>
  <c r="B7118" i="5"/>
  <c r="A7118" i="5"/>
  <c r="B7117" i="5"/>
  <c r="A7117" i="5"/>
  <c r="B7116" i="5"/>
  <c r="A7116" i="5"/>
  <c r="B7115" i="5"/>
  <c r="A7115" i="5"/>
  <c r="B7114" i="5"/>
  <c r="A7114" i="5"/>
  <c r="B7113" i="5"/>
  <c r="A7113" i="5"/>
  <c r="B7112" i="5"/>
  <c r="A7112" i="5"/>
  <c r="B7111" i="5"/>
  <c r="A7111" i="5"/>
  <c r="B7110" i="5"/>
  <c r="A7110" i="5"/>
  <c r="B7109" i="5"/>
  <c r="A7109" i="5"/>
  <c r="B7108" i="5"/>
  <c r="A7108" i="5"/>
  <c r="B7107" i="5"/>
  <c r="A7107" i="5"/>
  <c r="B7106" i="5"/>
  <c r="A7106" i="5"/>
  <c r="B7105" i="5"/>
  <c r="A7105" i="5"/>
  <c r="B7104" i="5"/>
  <c r="A7104" i="5"/>
  <c r="B7103" i="5"/>
  <c r="A7103" i="5"/>
  <c r="B7102" i="5"/>
  <c r="A7102" i="5"/>
  <c r="B7101" i="5"/>
  <c r="A7101" i="5"/>
  <c r="B7100" i="5"/>
  <c r="A7100" i="5"/>
  <c r="B7099" i="5"/>
  <c r="A7099" i="5"/>
  <c r="B7098" i="5"/>
  <c r="A7098" i="5"/>
  <c r="B7097" i="5"/>
  <c r="A7097" i="5"/>
  <c r="B7096" i="5"/>
  <c r="A7096" i="5"/>
  <c r="B7095" i="5"/>
  <c r="A7095" i="5"/>
  <c r="B7094" i="5"/>
  <c r="A7094" i="5"/>
  <c r="B7093" i="5"/>
  <c r="A7093" i="5"/>
  <c r="B7092" i="5"/>
  <c r="A7092" i="5"/>
  <c r="B7091" i="5"/>
  <c r="A7091" i="5"/>
  <c r="B7090" i="5"/>
  <c r="A7090" i="5"/>
  <c r="B7089" i="5"/>
  <c r="A7089" i="5"/>
  <c r="B7088" i="5"/>
  <c r="A7088" i="5"/>
  <c r="B7087" i="5"/>
  <c r="A7087" i="5"/>
  <c r="B7086" i="5"/>
  <c r="A7086" i="5"/>
  <c r="B7085" i="5"/>
  <c r="A7085" i="5"/>
  <c r="B7084" i="5"/>
  <c r="A7084" i="5"/>
  <c r="B7083" i="5"/>
  <c r="A7083" i="5"/>
  <c r="B7082" i="5"/>
  <c r="A7082" i="5"/>
  <c r="B7081" i="5"/>
  <c r="A7081" i="5"/>
  <c r="B7080" i="5"/>
  <c r="A7080" i="5"/>
  <c r="B7079" i="5"/>
  <c r="A7079" i="5"/>
  <c r="B7078" i="5"/>
  <c r="A7078" i="5"/>
  <c r="B7077" i="5"/>
  <c r="A7077" i="5"/>
  <c r="B7076" i="5"/>
  <c r="A7076" i="5"/>
  <c r="B7075" i="5"/>
  <c r="A7075" i="5"/>
  <c r="B7074" i="5"/>
  <c r="A7074" i="5"/>
  <c r="B7073" i="5"/>
  <c r="A7073" i="5"/>
  <c r="B7072" i="5"/>
  <c r="A7072" i="5"/>
  <c r="B7071" i="5"/>
  <c r="A7071" i="5"/>
  <c r="B7070" i="5"/>
  <c r="A7070" i="5"/>
  <c r="B7069" i="5"/>
  <c r="A7069" i="5"/>
  <c r="B7068" i="5"/>
  <c r="A7068" i="5"/>
  <c r="B7067" i="5"/>
  <c r="A7067" i="5"/>
  <c r="B7066" i="5"/>
  <c r="A7066" i="5"/>
  <c r="B7065" i="5"/>
  <c r="A7065" i="5"/>
  <c r="B7064" i="5"/>
  <c r="A7064" i="5"/>
  <c r="B7063" i="5"/>
  <c r="A7063" i="5"/>
  <c r="B7062" i="5"/>
  <c r="A7062" i="5"/>
  <c r="B7061" i="5"/>
  <c r="A7061" i="5"/>
  <c r="B7060" i="5"/>
  <c r="A7060" i="5"/>
  <c r="B7059" i="5"/>
  <c r="A7059" i="5"/>
  <c r="B7058" i="5"/>
  <c r="A7058" i="5"/>
  <c r="B7057" i="5"/>
  <c r="A7057" i="5"/>
  <c r="B7056" i="5"/>
  <c r="A7056" i="5"/>
  <c r="B7055" i="5"/>
  <c r="A7055" i="5"/>
  <c r="B7054" i="5"/>
  <c r="A7054" i="5"/>
  <c r="B7053" i="5"/>
  <c r="A7053" i="5"/>
  <c r="B7052" i="5"/>
  <c r="A7052" i="5"/>
  <c r="B7051" i="5"/>
  <c r="A7051" i="5"/>
  <c r="B7050" i="5"/>
  <c r="A7050" i="5"/>
  <c r="B7049" i="5"/>
  <c r="A7049" i="5"/>
  <c r="B7048" i="5"/>
  <c r="A7048" i="5"/>
  <c r="B7047" i="5"/>
  <c r="A7047" i="5"/>
  <c r="B7046" i="5"/>
  <c r="A7046" i="5"/>
  <c r="B7045" i="5"/>
  <c r="A7045" i="5"/>
  <c r="B7044" i="5"/>
  <c r="A7044" i="5"/>
  <c r="B7043" i="5"/>
  <c r="A7043" i="5"/>
  <c r="B7042" i="5"/>
  <c r="A7042" i="5"/>
  <c r="B7041" i="5"/>
  <c r="A7041" i="5"/>
  <c r="B7040" i="5"/>
  <c r="A7040" i="5"/>
  <c r="B7039" i="5"/>
  <c r="A7039" i="5"/>
  <c r="B7038" i="5"/>
  <c r="A7038" i="5"/>
  <c r="B7037" i="5"/>
  <c r="A7037" i="5"/>
  <c r="B7036" i="5"/>
  <c r="A7036" i="5"/>
  <c r="B7035" i="5"/>
  <c r="A7035" i="5"/>
  <c r="B7034" i="5"/>
  <c r="A7034" i="5"/>
  <c r="B7033" i="5"/>
  <c r="A7033" i="5"/>
  <c r="B7032" i="5"/>
  <c r="A7032" i="5"/>
  <c r="B7031" i="5"/>
  <c r="A7031" i="5"/>
  <c r="B7030" i="5"/>
  <c r="A7030" i="5"/>
  <c r="B7029" i="5"/>
  <c r="A7029" i="5"/>
  <c r="B7028" i="5"/>
  <c r="A7028" i="5"/>
  <c r="B7027" i="5"/>
  <c r="A7027" i="5"/>
  <c r="B7026" i="5"/>
  <c r="A7026" i="5"/>
  <c r="B7025" i="5"/>
  <c r="A7025" i="5"/>
  <c r="B7024" i="5"/>
  <c r="A7024" i="5"/>
  <c r="B7023" i="5"/>
  <c r="A7023" i="5"/>
  <c r="B7022" i="5"/>
  <c r="A7022" i="5"/>
  <c r="B7021" i="5"/>
  <c r="A7021" i="5"/>
  <c r="B7020" i="5"/>
  <c r="A7020" i="5"/>
  <c r="B7019" i="5"/>
  <c r="A7019" i="5"/>
  <c r="B7018" i="5"/>
  <c r="A7018" i="5"/>
  <c r="B7017" i="5"/>
  <c r="A7017" i="5"/>
  <c r="B7016" i="5"/>
  <c r="A7016" i="5"/>
  <c r="B7015" i="5"/>
  <c r="A7015" i="5"/>
  <c r="B7014" i="5"/>
  <c r="A7014" i="5"/>
  <c r="B7013" i="5"/>
  <c r="A7013" i="5"/>
  <c r="B7012" i="5"/>
  <c r="A7012" i="5"/>
  <c r="B7011" i="5"/>
  <c r="A7011" i="5"/>
  <c r="B7010" i="5"/>
  <c r="A7010" i="5"/>
  <c r="B7009" i="5"/>
  <c r="A7009" i="5"/>
  <c r="B7008" i="5"/>
  <c r="A7008" i="5"/>
  <c r="B7007" i="5"/>
  <c r="A7007" i="5"/>
  <c r="B7006" i="5"/>
  <c r="A7006" i="5"/>
  <c r="B7005" i="5"/>
  <c r="A7005" i="5"/>
  <c r="B7004" i="5"/>
  <c r="A7004" i="5"/>
  <c r="B7003" i="5"/>
  <c r="A7003" i="5"/>
  <c r="B7002" i="5"/>
  <c r="A7002" i="5"/>
  <c r="B7001" i="5"/>
  <c r="A7001" i="5"/>
  <c r="B7000" i="5"/>
  <c r="A7000" i="5"/>
  <c r="B6999" i="5"/>
  <c r="A6999" i="5"/>
  <c r="B6998" i="5"/>
  <c r="A6998" i="5"/>
  <c r="B6997" i="5"/>
  <c r="A6997" i="5"/>
  <c r="B6996" i="5"/>
  <c r="A6996" i="5"/>
  <c r="B6995" i="5"/>
  <c r="A6995" i="5"/>
  <c r="B6994" i="5"/>
  <c r="A6994" i="5"/>
  <c r="B6993" i="5"/>
  <c r="A6993" i="5"/>
  <c r="B6992" i="5"/>
  <c r="A6992" i="5"/>
  <c r="B6991" i="5"/>
  <c r="A6991" i="5"/>
  <c r="B6990" i="5"/>
  <c r="A6990" i="5"/>
  <c r="B6989" i="5"/>
  <c r="A6989" i="5"/>
  <c r="B6988" i="5"/>
  <c r="A6988" i="5"/>
  <c r="B6987" i="5"/>
  <c r="A6987" i="5"/>
  <c r="B6986" i="5"/>
  <c r="A6986" i="5"/>
  <c r="B6985" i="5"/>
  <c r="A6985" i="5"/>
  <c r="B6984" i="5"/>
  <c r="A6984" i="5"/>
  <c r="B6983" i="5"/>
  <c r="A6983" i="5"/>
  <c r="B6982" i="5"/>
  <c r="A6982" i="5"/>
  <c r="B6981" i="5"/>
  <c r="A6981" i="5"/>
  <c r="B6980" i="5"/>
  <c r="A6980" i="5"/>
  <c r="B6979" i="5"/>
  <c r="A6979" i="5"/>
  <c r="B6978" i="5"/>
  <c r="A6978" i="5"/>
  <c r="B6977" i="5"/>
  <c r="A6977" i="5"/>
  <c r="B6976" i="5"/>
  <c r="A6976" i="5"/>
  <c r="B6975" i="5"/>
  <c r="A6975" i="5"/>
  <c r="B6974" i="5"/>
  <c r="A6974" i="5"/>
  <c r="B6973" i="5"/>
  <c r="A6973" i="5"/>
  <c r="B6972" i="5"/>
  <c r="A6972" i="5"/>
  <c r="B6971" i="5"/>
  <c r="A6971" i="5"/>
  <c r="B6970" i="5"/>
  <c r="A6970" i="5"/>
  <c r="B6969" i="5"/>
  <c r="A6969" i="5"/>
  <c r="B6968" i="5"/>
  <c r="A6968" i="5"/>
  <c r="B6967" i="5"/>
  <c r="A6967" i="5"/>
  <c r="B6966" i="5"/>
  <c r="A6966" i="5"/>
  <c r="B6965" i="5"/>
  <c r="A6965" i="5"/>
  <c r="B6964" i="5"/>
  <c r="A6964" i="5"/>
  <c r="B6963" i="5"/>
  <c r="A6963" i="5"/>
  <c r="B6962" i="5"/>
  <c r="A6962" i="5"/>
  <c r="B6961" i="5"/>
  <c r="A6961" i="5"/>
  <c r="B6960" i="5"/>
  <c r="A6960" i="5"/>
  <c r="B6959" i="5"/>
  <c r="A6959" i="5"/>
  <c r="B6958" i="5"/>
  <c r="A6958" i="5"/>
  <c r="B6957" i="5"/>
  <c r="A6957" i="5"/>
  <c r="B6956" i="5"/>
  <c r="A6956" i="5"/>
  <c r="B6955" i="5"/>
  <c r="A6955" i="5"/>
  <c r="B6954" i="5"/>
  <c r="A6954" i="5"/>
  <c r="B6953" i="5"/>
  <c r="A6953" i="5"/>
  <c r="B6952" i="5"/>
  <c r="A6952" i="5"/>
  <c r="B6951" i="5"/>
  <c r="A6951" i="5"/>
  <c r="B6950" i="5"/>
  <c r="A6950" i="5"/>
  <c r="B6949" i="5"/>
  <c r="A6949" i="5"/>
  <c r="B6948" i="5"/>
  <c r="A6948" i="5"/>
  <c r="B6947" i="5"/>
  <c r="A6947" i="5"/>
  <c r="B6946" i="5"/>
  <c r="A6946" i="5"/>
  <c r="B6945" i="5"/>
  <c r="A6945" i="5"/>
  <c r="B6944" i="5"/>
  <c r="A6944" i="5"/>
  <c r="B6943" i="5"/>
  <c r="A6943" i="5"/>
  <c r="B6942" i="5"/>
  <c r="A6942" i="5"/>
  <c r="B6941" i="5"/>
  <c r="A6941" i="5"/>
  <c r="B6940" i="5"/>
  <c r="A6940" i="5"/>
  <c r="B6939" i="5"/>
  <c r="A6939" i="5"/>
  <c r="B6938" i="5"/>
  <c r="A6938" i="5"/>
  <c r="B6937" i="5"/>
  <c r="A6937" i="5"/>
  <c r="B6936" i="5"/>
  <c r="A6936" i="5"/>
  <c r="B6935" i="5"/>
  <c r="A6935" i="5"/>
  <c r="B6934" i="5"/>
  <c r="A6934" i="5"/>
  <c r="B6933" i="5"/>
  <c r="A6933" i="5"/>
  <c r="B6932" i="5"/>
  <c r="A6932" i="5"/>
  <c r="B6931" i="5"/>
  <c r="A6931" i="5"/>
  <c r="B6930" i="5"/>
  <c r="A6930" i="5"/>
  <c r="B6929" i="5"/>
  <c r="A6929" i="5"/>
  <c r="B6928" i="5"/>
  <c r="A6928" i="5"/>
  <c r="B6927" i="5"/>
  <c r="A6927" i="5"/>
  <c r="B6926" i="5"/>
  <c r="A6926" i="5"/>
  <c r="B6925" i="5"/>
  <c r="A6925" i="5"/>
  <c r="B6924" i="5"/>
  <c r="A6924" i="5"/>
  <c r="B6923" i="5"/>
  <c r="A6923" i="5"/>
  <c r="B6922" i="5"/>
  <c r="A6922" i="5"/>
  <c r="B6921" i="5"/>
  <c r="A6921" i="5"/>
  <c r="B6920" i="5"/>
  <c r="A6920" i="5"/>
  <c r="B6919" i="5"/>
  <c r="A6919" i="5"/>
  <c r="B6918" i="5"/>
  <c r="A6918" i="5"/>
  <c r="B6917" i="5"/>
  <c r="A6917" i="5"/>
  <c r="B6916" i="5"/>
  <c r="A6916" i="5"/>
  <c r="B6915" i="5"/>
  <c r="A6915" i="5"/>
  <c r="B6914" i="5"/>
  <c r="A6914" i="5"/>
  <c r="B6913" i="5"/>
  <c r="A6913" i="5"/>
  <c r="B6912" i="5"/>
  <c r="A6912" i="5"/>
  <c r="B6911" i="5"/>
  <c r="A6911" i="5"/>
  <c r="B6910" i="5"/>
  <c r="A6910" i="5"/>
  <c r="B6909" i="5"/>
  <c r="A6909" i="5"/>
  <c r="B6908" i="5"/>
  <c r="A6908" i="5"/>
  <c r="B6907" i="5"/>
  <c r="A6907" i="5"/>
  <c r="B6906" i="5"/>
  <c r="A6906" i="5"/>
  <c r="B6905" i="5"/>
  <c r="A6905" i="5"/>
  <c r="B6904" i="5"/>
  <c r="A6904" i="5"/>
  <c r="B6903" i="5"/>
  <c r="A6903" i="5"/>
  <c r="B6902" i="5"/>
  <c r="A6902" i="5"/>
  <c r="B6901" i="5"/>
  <c r="A6901" i="5"/>
  <c r="B6900" i="5"/>
  <c r="A6900" i="5"/>
  <c r="B6899" i="5"/>
  <c r="A6899" i="5"/>
  <c r="B6898" i="5"/>
  <c r="A6898" i="5"/>
  <c r="B6897" i="5"/>
  <c r="A6897" i="5"/>
  <c r="B6896" i="5"/>
  <c r="A6896" i="5"/>
  <c r="B6895" i="5"/>
  <c r="A6895" i="5"/>
  <c r="B6894" i="5"/>
  <c r="A6894" i="5"/>
  <c r="B6893" i="5"/>
  <c r="A6893" i="5"/>
  <c r="B6892" i="5"/>
  <c r="A6892" i="5"/>
  <c r="B6891" i="5"/>
  <c r="A6891" i="5"/>
  <c r="B6890" i="5"/>
  <c r="A6890" i="5"/>
  <c r="B6889" i="5"/>
  <c r="A6889" i="5"/>
  <c r="B6888" i="5"/>
  <c r="A6888" i="5"/>
  <c r="B6887" i="5"/>
  <c r="A6887" i="5"/>
  <c r="B6886" i="5"/>
  <c r="A6886" i="5"/>
  <c r="B6885" i="5"/>
  <c r="A6885" i="5"/>
  <c r="B6884" i="5"/>
  <c r="A6884" i="5"/>
  <c r="B6883" i="5"/>
  <c r="A6883" i="5"/>
  <c r="B6882" i="5"/>
  <c r="A6882" i="5"/>
  <c r="B6881" i="5"/>
  <c r="A6881" i="5"/>
  <c r="B6880" i="5"/>
  <c r="A6880" i="5"/>
  <c r="B6879" i="5"/>
  <c r="A6879" i="5"/>
  <c r="B6878" i="5"/>
  <c r="A6878" i="5"/>
  <c r="B6877" i="5"/>
  <c r="A6877" i="5"/>
  <c r="B6876" i="5"/>
  <c r="A6876" i="5"/>
  <c r="B6875" i="5"/>
  <c r="A6875" i="5"/>
  <c r="B6874" i="5"/>
  <c r="A6874" i="5"/>
  <c r="B6873" i="5"/>
  <c r="A6873" i="5"/>
  <c r="B6872" i="5"/>
  <c r="A6872" i="5"/>
  <c r="B6871" i="5"/>
  <c r="A6871" i="5"/>
  <c r="B6870" i="5"/>
  <c r="A6870" i="5"/>
  <c r="B6869" i="5"/>
  <c r="A6869" i="5"/>
  <c r="B6868" i="5"/>
  <c r="A6868" i="5"/>
  <c r="B6867" i="5"/>
  <c r="A6867" i="5"/>
  <c r="B6866" i="5"/>
  <c r="A6866" i="5"/>
  <c r="B6865" i="5"/>
  <c r="A6865" i="5"/>
  <c r="B6864" i="5"/>
  <c r="A6864" i="5"/>
  <c r="B6863" i="5"/>
  <c r="A6863" i="5"/>
  <c r="B6862" i="5"/>
  <c r="A6862" i="5"/>
  <c r="B6861" i="5"/>
  <c r="A6861" i="5"/>
  <c r="B6860" i="5"/>
  <c r="A6860" i="5"/>
  <c r="B6859" i="5"/>
  <c r="A6859" i="5"/>
  <c r="B6858" i="5"/>
  <c r="A6858" i="5"/>
  <c r="B6857" i="5"/>
  <c r="A6857" i="5"/>
  <c r="B6856" i="5"/>
  <c r="A6856" i="5"/>
  <c r="B6855" i="5"/>
  <c r="A6855" i="5"/>
  <c r="B6854" i="5"/>
  <c r="A6854" i="5"/>
  <c r="B6853" i="5"/>
  <c r="A6853" i="5"/>
  <c r="B6852" i="5"/>
  <c r="A6852" i="5"/>
  <c r="B6851" i="5"/>
  <c r="A6851" i="5"/>
  <c r="B6850" i="5"/>
  <c r="A6850" i="5"/>
  <c r="B6849" i="5"/>
  <c r="A6849" i="5"/>
  <c r="B6848" i="5"/>
  <c r="A6848" i="5"/>
  <c r="B6847" i="5"/>
  <c r="A6847" i="5"/>
  <c r="B6846" i="5"/>
  <c r="A6846" i="5"/>
  <c r="B6845" i="5"/>
  <c r="A6845" i="5"/>
  <c r="B6844" i="5"/>
  <c r="A6844" i="5"/>
  <c r="B6843" i="5"/>
  <c r="A6843" i="5"/>
  <c r="B6842" i="5"/>
  <c r="A6842" i="5"/>
  <c r="B6841" i="5"/>
  <c r="A6841" i="5"/>
  <c r="B6840" i="5"/>
  <c r="A6840" i="5"/>
  <c r="B6839" i="5"/>
  <c r="A6839" i="5"/>
  <c r="B6838" i="5"/>
  <c r="A6838" i="5"/>
  <c r="B6837" i="5"/>
  <c r="A6837" i="5"/>
  <c r="B6836" i="5"/>
  <c r="A6836" i="5"/>
  <c r="B6835" i="5"/>
  <c r="A6835" i="5"/>
  <c r="B6834" i="5"/>
  <c r="A6834" i="5"/>
  <c r="B6833" i="5"/>
  <c r="A6833" i="5"/>
  <c r="B6832" i="5"/>
  <c r="A6832" i="5"/>
  <c r="B6831" i="5"/>
  <c r="A6831" i="5"/>
  <c r="B6830" i="5"/>
  <c r="A6830" i="5"/>
  <c r="B6829" i="5"/>
  <c r="A6829" i="5"/>
  <c r="B6828" i="5"/>
  <c r="A6828" i="5"/>
  <c r="B6827" i="5"/>
  <c r="A6827" i="5"/>
  <c r="B6826" i="5"/>
  <c r="A6826" i="5"/>
  <c r="B6825" i="5"/>
  <c r="A6825" i="5"/>
  <c r="B6824" i="5"/>
  <c r="A6824" i="5"/>
  <c r="B6823" i="5"/>
  <c r="A6823" i="5"/>
  <c r="B6822" i="5"/>
  <c r="A6822" i="5"/>
  <c r="B6821" i="5"/>
  <c r="A6821" i="5"/>
  <c r="B6820" i="5"/>
  <c r="A6820" i="5"/>
  <c r="B6819" i="5"/>
  <c r="A6819" i="5"/>
  <c r="B6818" i="5"/>
  <c r="A6818" i="5"/>
  <c r="B6817" i="5"/>
  <c r="A6817" i="5"/>
  <c r="B6816" i="5"/>
  <c r="A6816" i="5"/>
  <c r="B6815" i="5"/>
  <c r="A6815" i="5"/>
  <c r="B6814" i="5"/>
  <c r="A6814" i="5"/>
  <c r="B6813" i="5"/>
  <c r="A6813" i="5"/>
  <c r="B6812" i="5"/>
  <c r="A6812" i="5"/>
  <c r="B6811" i="5"/>
  <c r="A6811" i="5"/>
  <c r="B6810" i="5"/>
  <c r="A6810" i="5"/>
  <c r="B6809" i="5"/>
  <c r="A6809" i="5"/>
  <c r="B6808" i="5"/>
  <c r="A6808" i="5"/>
  <c r="B6807" i="5"/>
  <c r="A6807" i="5"/>
  <c r="B6806" i="5"/>
  <c r="A6806" i="5"/>
  <c r="B6805" i="5"/>
  <c r="A6805" i="5"/>
  <c r="B6804" i="5"/>
  <c r="A6804" i="5"/>
  <c r="B6803" i="5"/>
  <c r="A6803" i="5"/>
  <c r="B6802" i="5"/>
  <c r="A6802" i="5"/>
  <c r="B6801" i="5"/>
  <c r="A6801" i="5"/>
  <c r="B6800" i="5"/>
  <c r="A6800" i="5"/>
  <c r="B6799" i="5"/>
  <c r="A6799" i="5"/>
  <c r="B6798" i="5"/>
  <c r="A6798" i="5"/>
  <c r="B6797" i="5"/>
  <c r="A6797" i="5"/>
  <c r="B6796" i="5"/>
  <c r="A6796" i="5"/>
  <c r="B6795" i="5"/>
  <c r="A6795" i="5"/>
  <c r="B6794" i="5"/>
  <c r="A6794" i="5"/>
  <c r="B6793" i="5"/>
  <c r="A6793" i="5"/>
  <c r="B6792" i="5"/>
  <c r="A6792" i="5"/>
  <c r="B6791" i="5"/>
  <c r="A6791" i="5"/>
  <c r="B6790" i="5"/>
  <c r="A6790" i="5"/>
  <c r="B6789" i="5"/>
  <c r="A6789" i="5"/>
  <c r="B6788" i="5"/>
  <c r="A6788" i="5"/>
  <c r="B6787" i="5"/>
  <c r="A6787" i="5"/>
  <c r="B6786" i="5"/>
  <c r="A6786" i="5"/>
  <c r="B6785" i="5"/>
  <c r="A6785" i="5"/>
  <c r="B6784" i="5"/>
  <c r="A6784" i="5"/>
  <c r="B6783" i="5"/>
  <c r="A6783" i="5"/>
  <c r="B6782" i="5"/>
  <c r="A6782" i="5"/>
  <c r="B6781" i="5"/>
  <c r="A6781" i="5"/>
  <c r="B6780" i="5"/>
  <c r="A6780" i="5"/>
  <c r="B6779" i="5"/>
  <c r="A6779" i="5"/>
  <c r="B6778" i="5"/>
  <c r="A6778" i="5"/>
  <c r="B6777" i="5"/>
  <c r="A6777" i="5"/>
  <c r="B6776" i="5"/>
  <c r="A6776" i="5"/>
  <c r="B6775" i="5"/>
  <c r="A6775" i="5"/>
  <c r="B6774" i="5"/>
  <c r="A6774" i="5"/>
  <c r="B6773" i="5"/>
  <c r="A6773" i="5"/>
  <c r="B6772" i="5"/>
  <c r="A6772" i="5"/>
  <c r="B6771" i="5"/>
  <c r="A6771" i="5"/>
  <c r="B6770" i="5"/>
  <c r="A6770" i="5"/>
  <c r="B6769" i="5"/>
  <c r="A6769" i="5"/>
  <c r="B6768" i="5"/>
  <c r="A6768" i="5"/>
  <c r="B6767" i="5"/>
  <c r="A6767" i="5"/>
  <c r="B6766" i="5"/>
  <c r="A6766" i="5"/>
  <c r="B6765" i="5"/>
  <c r="A6765" i="5"/>
  <c r="B6764" i="5"/>
  <c r="A6764" i="5"/>
  <c r="B6763" i="5"/>
  <c r="A6763" i="5"/>
  <c r="B6762" i="5"/>
  <c r="A6762" i="5"/>
  <c r="B6761" i="5"/>
  <c r="A6761" i="5"/>
  <c r="B6760" i="5"/>
  <c r="A6760" i="5"/>
  <c r="B6759" i="5"/>
  <c r="A6759" i="5"/>
  <c r="B6758" i="5"/>
  <c r="A6758" i="5"/>
  <c r="B6757" i="5"/>
  <c r="A6757" i="5"/>
  <c r="B6756" i="5"/>
  <c r="A6756" i="5"/>
  <c r="B6755" i="5"/>
  <c r="A6755" i="5"/>
  <c r="B6754" i="5"/>
  <c r="A6754" i="5"/>
  <c r="B6753" i="5"/>
  <c r="A6753" i="5"/>
  <c r="B6752" i="5"/>
  <c r="A6752" i="5"/>
  <c r="B6751" i="5"/>
  <c r="A6751" i="5"/>
  <c r="B6750" i="5"/>
  <c r="A6750" i="5"/>
  <c r="B6749" i="5"/>
  <c r="A6749" i="5"/>
  <c r="B6748" i="5"/>
  <c r="A6748" i="5"/>
  <c r="B6747" i="5"/>
  <c r="A6747" i="5"/>
  <c r="B6746" i="5"/>
  <c r="A6746" i="5"/>
  <c r="B6745" i="5"/>
  <c r="A6745" i="5"/>
  <c r="B6744" i="5"/>
  <c r="A6744" i="5"/>
  <c r="B6743" i="5"/>
  <c r="A6743" i="5"/>
  <c r="B6742" i="5"/>
  <c r="A6742" i="5"/>
  <c r="B6741" i="5"/>
  <c r="A6741" i="5"/>
  <c r="B6740" i="5"/>
  <c r="A6740" i="5"/>
  <c r="B6739" i="5"/>
  <c r="A6739" i="5"/>
  <c r="B6738" i="5"/>
  <c r="A6738" i="5"/>
  <c r="B6737" i="5"/>
  <c r="A6737" i="5"/>
  <c r="B6736" i="5"/>
  <c r="A6736" i="5"/>
  <c r="B6735" i="5"/>
  <c r="A6735" i="5"/>
  <c r="B6734" i="5"/>
  <c r="A6734" i="5"/>
  <c r="B6733" i="5"/>
  <c r="A6733" i="5"/>
  <c r="B6732" i="5"/>
  <c r="A6732" i="5"/>
  <c r="B6731" i="5"/>
  <c r="A6731" i="5"/>
  <c r="B6730" i="5"/>
  <c r="A6730" i="5"/>
  <c r="B6729" i="5"/>
  <c r="A6729" i="5"/>
  <c r="B6728" i="5"/>
  <c r="A6728" i="5"/>
  <c r="B6727" i="5"/>
  <c r="A6727" i="5"/>
  <c r="B6726" i="5"/>
  <c r="A6726" i="5"/>
  <c r="B6725" i="5"/>
  <c r="A6725" i="5"/>
  <c r="B6724" i="5"/>
  <c r="A6724" i="5"/>
  <c r="B6723" i="5"/>
  <c r="A6723" i="5"/>
  <c r="B6722" i="5"/>
  <c r="A6722" i="5"/>
  <c r="B6721" i="5"/>
  <c r="A6721" i="5"/>
  <c r="B6720" i="5"/>
  <c r="A6720" i="5"/>
  <c r="B6719" i="5"/>
  <c r="A6719" i="5"/>
  <c r="B6718" i="5"/>
  <c r="A6718" i="5"/>
  <c r="B6717" i="5"/>
  <c r="A6717" i="5"/>
  <c r="B6716" i="5"/>
  <c r="A6716" i="5"/>
  <c r="B6715" i="5"/>
  <c r="A6715" i="5"/>
  <c r="B6714" i="5"/>
  <c r="A6714" i="5"/>
  <c r="B6713" i="5"/>
  <c r="A6713" i="5"/>
  <c r="B6712" i="5"/>
  <c r="A6712" i="5"/>
  <c r="B6711" i="5"/>
  <c r="A6711" i="5"/>
  <c r="B6710" i="5"/>
  <c r="A6710" i="5"/>
  <c r="B6709" i="5"/>
  <c r="A6709" i="5"/>
  <c r="B6708" i="5"/>
  <c r="A6708" i="5"/>
  <c r="B6707" i="5"/>
  <c r="A6707" i="5"/>
  <c r="B6706" i="5"/>
  <c r="A6706" i="5"/>
  <c r="B6705" i="5"/>
  <c r="A6705" i="5"/>
  <c r="B6704" i="5"/>
  <c r="A6704" i="5"/>
  <c r="B6703" i="5"/>
  <c r="A6703" i="5"/>
  <c r="B6702" i="5"/>
  <c r="A6702" i="5"/>
  <c r="B6701" i="5"/>
  <c r="A6701" i="5"/>
  <c r="B6700" i="5"/>
  <c r="A6700" i="5"/>
  <c r="B6699" i="5"/>
  <c r="A6699" i="5"/>
  <c r="B6698" i="5"/>
  <c r="A6698" i="5"/>
  <c r="B6697" i="5"/>
  <c r="A6697" i="5"/>
  <c r="B6696" i="5"/>
  <c r="A6696" i="5"/>
  <c r="B6695" i="5"/>
  <c r="A6695" i="5"/>
  <c r="B6694" i="5"/>
  <c r="A6694" i="5"/>
  <c r="B6693" i="5"/>
  <c r="A6693" i="5"/>
  <c r="B6692" i="5"/>
  <c r="A6692" i="5"/>
  <c r="B6691" i="5"/>
  <c r="A6691" i="5"/>
  <c r="B6690" i="5"/>
  <c r="A6690" i="5"/>
  <c r="B6689" i="5"/>
  <c r="A6689" i="5"/>
  <c r="B6688" i="5"/>
  <c r="A6688" i="5"/>
  <c r="B6687" i="5"/>
  <c r="A6687" i="5"/>
  <c r="B6686" i="5"/>
  <c r="A6686" i="5"/>
  <c r="B6685" i="5"/>
  <c r="A6685" i="5"/>
  <c r="B6684" i="5"/>
  <c r="A6684" i="5"/>
  <c r="B6683" i="5"/>
  <c r="A6683" i="5"/>
  <c r="B6682" i="5"/>
  <c r="A6682" i="5"/>
  <c r="B6681" i="5"/>
  <c r="A6681" i="5"/>
  <c r="B6680" i="5"/>
  <c r="A6680" i="5"/>
  <c r="B6679" i="5"/>
  <c r="A6679" i="5"/>
  <c r="B6678" i="5"/>
  <c r="A6678" i="5"/>
  <c r="B6677" i="5"/>
  <c r="A6677" i="5"/>
  <c r="B6676" i="5"/>
  <c r="A6676" i="5"/>
  <c r="B6675" i="5"/>
  <c r="A6675" i="5"/>
  <c r="B6674" i="5"/>
  <c r="A6674" i="5"/>
  <c r="B6673" i="5"/>
  <c r="A6673" i="5"/>
  <c r="B6672" i="5"/>
  <c r="A6672" i="5"/>
  <c r="B6671" i="5"/>
  <c r="A6671" i="5"/>
  <c r="B6670" i="5"/>
  <c r="A6670" i="5"/>
  <c r="B6669" i="5"/>
  <c r="A6669" i="5"/>
  <c r="B6668" i="5"/>
  <c r="A6668" i="5"/>
  <c r="B6667" i="5"/>
  <c r="A6667" i="5"/>
  <c r="B6666" i="5"/>
  <c r="A6666" i="5"/>
  <c r="B6665" i="5"/>
  <c r="A6665" i="5"/>
  <c r="B6664" i="5"/>
  <c r="A6664" i="5"/>
  <c r="B6663" i="5"/>
  <c r="A6663" i="5"/>
  <c r="B6662" i="5"/>
  <c r="A6662" i="5"/>
  <c r="B6661" i="5"/>
  <c r="A6661" i="5"/>
  <c r="B6660" i="5"/>
  <c r="A6660" i="5"/>
  <c r="B6659" i="5"/>
  <c r="A6659" i="5"/>
  <c r="B6658" i="5"/>
  <c r="A6658" i="5"/>
  <c r="B6657" i="5"/>
  <c r="A6657" i="5"/>
  <c r="B6656" i="5"/>
  <c r="A6656" i="5"/>
  <c r="B6655" i="5"/>
  <c r="A6655" i="5"/>
  <c r="B6654" i="5"/>
  <c r="A6654" i="5"/>
  <c r="B6653" i="5"/>
  <c r="A6653" i="5"/>
  <c r="B6652" i="5"/>
  <c r="A6652" i="5"/>
  <c r="B6651" i="5"/>
  <c r="A6651" i="5"/>
  <c r="B6650" i="5"/>
  <c r="A6650" i="5"/>
  <c r="B6649" i="5"/>
  <c r="A6649" i="5"/>
  <c r="B6648" i="5"/>
  <c r="A6648" i="5"/>
  <c r="B6647" i="5"/>
  <c r="A6647" i="5"/>
  <c r="B6646" i="5"/>
  <c r="A6646" i="5"/>
  <c r="B6645" i="5"/>
  <c r="A6645" i="5"/>
  <c r="B6644" i="5"/>
  <c r="A6644" i="5"/>
  <c r="B6643" i="5"/>
  <c r="A6643" i="5"/>
  <c r="B6642" i="5"/>
  <c r="A6642" i="5"/>
  <c r="B6641" i="5"/>
  <c r="A6641" i="5"/>
  <c r="B6640" i="5"/>
  <c r="A6640" i="5"/>
  <c r="B6639" i="5"/>
  <c r="A6639" i="5"/>
  <c r="B6638" i="5"/>
  <c r="A6638" i="5"/>
  <c r="B6637" i="5"/>
  <c r="A6637" i="5"/>
  <c r="B6636" i="5"/>
  <c r="A6636" i="5"/>
  <c r="B6635" i="5"/>
  <c r="A6635" i="5"/>
  <c r="B6634" i="5"/>
  <c r="A6634" i="5"/>
  <c r="B6633" i="5"/>
  <c r="A6633" i="5"/>
  <c r="B6632" i="5"/>
  <c r="A6632" i="5"/>
  <c r="B6631" i="5"/>
  <c r="A6631" i="5"/>
  <c r="B6630" i="5"/>
  <c r="A6630" i="5"/>
  <c r="B6629" i="5"/>
  <c r="A6629" i="5"/>
  <c r="B6628" i="5"/>
  <c r="A6628" i="5"/>
  <c r="B6627" i="5"/>
  <c r="A6627" i="5"/>
  <c r="B6626" i="5"/>
  <c r="A6626" i="5"/>
  <c r="B6625" i="5"/>
  <c r="A6625" i="5"/>
  <c r="B6624" i="5"/>
  <c r="A6624" i="5"/>
  <c r="B6623" i="5"/>
  <c r="A6623" i="5"/>
  <c r="B6622" i="5"/>
  <c r="A6622" i="5"/>
  <c r="B6621" i="5"/>
  <c r="A6621" i="5"/>
  <c r="B6620" i="5"/>
  <c r="A6620" i="5"/>
  <c r="B6619" i="5"/>
  <c r="A6619" i="5"/>
  <c r="B6618" i="5"/>
  <c r="A6618" i="5"/>
  <c r="B6617" i="5"/>
  <c r="A6617" i="5"/>
  <c r="B6616" i="5"/>
  <c r="A6616" i="5"/>
  <c r="B6615" i="5"/>
  <c r="A6615" i="5"/>
  <c r="B6614" i="5"/>
  <c r="A6614" i="5"/>
  <c r="B6613" i="5"/>
  <c r="A6613" i="5"/>
  <c r="B6612" i="5"/>
  <c r="A6612" i="5"/>
  <c r="B6611" i="5"/>
  <c r="A6611" i="5"/>
  <c r="B6610" i="5"/>
  <c r="A6610" i="5"/>
  <c r="B6609" i="5"/>
  <c r="A6609" i="5"/>
  <c r="B6608" i="5"/>
  <c r="A6608" i="5"/>
  <c r="B6607" i="5"/>
  <c r="A6607" i="5"/>
  <c r="B6606" i="5"/>
  <c r="A6606" i="5"/>
  <c r="B6605" i="5"/>
  <c r="A6605" i="5"/>
  <c r="B6604" i="5"/>
  <c r="A6604" i="5"/>
  <c r="B6603" i="5"/>
  <c r="A6603" i="5"/>
  <c r="B6602" i="5"/>
  <c r="A6602" i="5"/>
  <c r="B6601" i="5"/>
  <c r="A6601" i="5"/>
  <c r="B6600" i="5"/>
  <c r="A6600" i="5"/>
  <c r="B6599" i="5"/>
  <c r="A6599" i="5"/>
  <c r="B6598" i="5"/>
  <c r="A6598" i="5"/>
  <c r="B6597" i="5"/>
  <c r="A6597" i="5"/>
  <c r="B6596" i="5"/>
  <c r="A6596" i="5"/>
  <c r="B6595" i="5"/>
  <c r="A6595" i="5"/>
  <c r="B6594" i="5"/>
  <c r="A6594" i="5"/>
  <c r="B6593" i="5"/>
  <c r="A6593" i="5"/>
  <c r="B6592" i="5"/>
  <c r="A6592" i="5"/>
  <c r="B6591" i="5"/>
  <c r="A6591" i="5"/>
  <c r="B6590" i="5"/>
  <c r="A6590" i="5"/>
  <c r="B6589" i="5"/>
  <c r="A6589" i="5"/>
  <c r="B6588" i="5"/>
  <c r="A6588" i="5"/>
  <c r="B6587" i="5"/>
  <c r="A6587" i="5"/>
  <c r="B6586" i="5"/>
  <c r="A6586" i="5"/>
  <c r="B6585" i="5"/>
  <c r="A6585" i="5"/>
  <c r="B6584" i="5"/>
  <c r="A6584" i="5"/>
  <c r="B6583" i="5"/>
  <c r="A6583" i="5"/>
  <c r="B6582" i="5"/>
  <c r="A6582" i="5"/>
  <c r="B6581" i="5"/>
  <c r="A6581" i="5"/>
  <c r="B6580" i="5"/>
  <c r="A6580" i="5"/>
  <c r="B6579" i="5"/>
  <c r="A6579" i="5"/>
  <c r="B6578" i="5"/>
  <c r="A6578" i="5"/>
  <c r="B6577" i="5"/>
  <c r="A6577" i="5"/>
  <c r="B6576" i="5"/>
  <c r="A6576" i="5"/>
  <c r="B6575" i="5"/>
  <c r="A6575" i="5"/>
  <c r="B6574" i="5"/>
  <c r="A6574" i="5"/>
  <c r="B6573" i="5"/>
  <c r="A6573" i="5"/>
  <c r="B6572" i="5"/>
  <c r="A6572" i="5"/>
  <c r="B6571" i="5"/>
  <c r="A6571" i="5"/>
  <c r="B6570" i="5"/>
  <c r="A6570" i="5"/>
  <c r="B6569" i="5"/>
  <c r="A6569" i="5"/>
  <c r="B6568" i="5"/>
  <c r="A6568" i="5"/>
  <c r="B6567" i="5"/>
  <c r="A6567" i="5"/>
  <c r="B6566" i="5"/>
  <c r="A6566" i="5"/>
  <c r="B6565" i="5"/>
  <c r="A6565" i="5"/>
  <c r="B6564" i="5"/>
  <c r="A6564" i="5"/>
  <c r="B6563" i="5"/>
  <c r="A6563" i="5"/>
  <c r="B6562" i="5"/>
  <c r="A6562" i="5"/>
  <c r="B6561" i="5"/>
  <c r="A6561" i="5"/>
  <c r="B6560" i="5"/>
  <c r="A6560" i="5"/>
  <c r="B6559" i="5"/>
  <c r="A6559" i="5"/>
  <c r="B6558" i="5"/>
  <c r="A6558" i="5"/>
  <c r="B6557" i="5"/>
  <c r="A6557" i="5"/>
  <c r="B6556" i="5"/>
  <c r="A6556" i="5"/>
  <c r="B6555" i="5"/>
  <c r="A6555" i="5"/>
  <c r="B6554" i="5"/>
  <c r="A6554" i="5"/>
  <c r="B6553" i="5"/>
  <c r="A6553" i="5"/>
  <c r="B6552" i="5"/>
  <c r="A6552" i="5"/>
  <c r="B6551" i="5"/>
  <c r="A6551" i="5"/>
  <c r="B6550" i="5"/>
  <c r="A6550" i="5"/>
  <c r="B6549" i="5"/>
  <c r="A6549" i="5"/>
  <c r="B6548" i="5"/>
  <c r="A6548" i="5"/>
  <c r="B6547" i="5"/>
  <c r="A6547" i="5"/>
  <c r="B6546" i="5"/>
  <c r="A6546" i="5"/>
  <c r="B6545" i="5"/>
  <c r="A6545" i="5"/>
  <c r="B6544" i="5"/>
  <c r="A6544" i="5"/>
  <c r="B6543" i="5"/>
  <c r="A6543" i="5"/>
  <c r="B6542" i="5"/>
  <c r="A6542" i="5"/>
  <c r="B6541" i="5"/>
  <c r="A6541" i="5"/>
  <c r="B6540" i="5"/>
  <c r="A6540" i="5"/>
  <c r="B6539" i="5"/>
  <c r="A6539" i="5"/>
  <c r="B6538" i="5"/>
  <c r="A6538" i="5"/>
  <c r="B6537" i="5"/>
  <c r="A6537" i="5"/>
  <c r="B6536" i="5"/>
  <c r="A6536" i="5"/>
  <c r="B6535" i="5"/>
  <c r="A6535" i="5"/>
  <c r="B6534" i="5"/>
  <c r="A6534" i="5"/>
  <c r="B6533" i="5"/>
  <c r="A6533" i="5"/>
  <c r="B6532" i="5"/>
  <c r="A6532" i="5"/>
  <c r="B6531" i="5"/>
  <c r="A6531" i="5"/>
  <c r="B6530" i="5"/>
  <c r="A6530" i="5"/>
  <c r="B6529" i="5"/>
  <c r="A6529" i="5"/>
  <c r="B6528" i="5"/>
  <c r="A6528" i="5"/>
  <c r="B6527" i="5"/>
  <c r="A6527" i="5"/>
  <c r="B6526" i="5"/>
  <c r="A6526" i="5"/>
  <c r="B6525" i="5"/>
  <c r="A6525" i="5"/>
  <c r="B6524" i="5"/>
  <c r="A6524" i="5"/>
  <c r="B6523" i="5"/>
  <c r="A6523" i="5"/>
  <c r="B6522" i="5"/>
  <c r="A6522" i="5"/>
  <c r="B6521" i="5"/>
  <c r="A6521" i="5"/>
  <c r="B6520" i="5"/>
  <c r="A6520" i="5"/>
  <c r="B6519" i="5"/>
  <c r="A6519" i="5"/>
  <c r="B6518" i="5"/>
  <c r="A6518" i="5"/>
  <c r="B6517" i="5"/>
  <c r="A6517" i="5"/>
  <c r="B6516" i="5"/>
  <c r="A6516" i="5"/>
  <c r="B6515" i="5"/>
  <c r="A6515" i="5"/>
  <c r="B6514" i="5"/>
  <c r="A6514" i="5"/>
  <c r="B6513" i="5"/>
  <c r="A6513" i="5"/>
  <c r="B6512" i="5"/>
  <c r="A6512" i="5"/>
  <c r="B6511" i="5"/>
  <c r="A6511" i="5"/>
  <c r="B6510" i="5"/>
  <c r="A6510" i="5"/>
  <c r="B6509" i="5"/>
  <c r="A6509" i="5"/>
  <c r="B6508" i="5"/>
  <c r="A6508" i="5"/>
  <c r="B6507" i="5"/>
  <c r="A6507" i="5"/>
  <c r="B6506" i="5"/>
  <c r="A6506" i="5"/>
  <c r="B6505" i="5"/>
  <c r="A6505" i="5"/>
  <c r="B6504" i="5"/>
  <c r="A6504" i="5"/>
  <c r="B6503" i="5"/>
  <c r="A6503" i="5"/>
  <c r="B6502" i="5"/>
  <c r="A6502" i="5"/>
  <c r="B6501" i="5"/>
  <c r="A6501" i="5"/>
  <c r="B6500" i="5"/>
  <c r="A6500" i="5"/>
  <c r="B6499" i="5"/>
  <c r="A6499" i="5"/>
  <c r="B6498" i="5"/>
  <c r="A6498" i="5"/>
  <c r="B6497" i="5"/>
  <c r="A6497" i="5"/>
  <c r="B6496" i="5"/>
  <c r="A6496" i="5"/>
  <c r="B6495" i="5"/>
  <c r="A6495" i="5"/>
  <c r="B6494" i="5"/>
  <c r="A6494" i="5"/>
  <c r="B6493" i="5"/>
  <c r="A6493" i="5"/>
  <c r="B6492" i="5"/>
  <c r="A6492" i="5"/>
  <c r="B6491" i="5"/>
  <c r="A6491" i="5"/>
  <c r="B6490" i="5"/>
  <c r="A6490" i="5"/>
  <c r="B6489" i="5"/>
  <c r="A6489" i="5"/>
  <c r="B6488" i="5"/>
  <c r="A6488" i="5"/>
  <c r="B6487" i="5"/>
  <c r="A6487" i="5"/>
  <c r="B6486" i="5"/>
  <c r="A6486" i="5"/>
  <c r="B6485" i="5"/>
  <c r="A6485" i="5"/>
  <c r="B6484" i="5"/>
  <c r="A6484" i="5"/>
  <c r="B6483" i="5"/>
  <c r="A6483" i="5"/>
  <c r="B6482" i="5"/>
  <c r="A6482" i="5"/>
  <c r="B6481" i="5"/>
  <c r="A6481" i="5"/>
  <c r="B6480" i="5"/>
  <c r="A6480" i="5"/>
  <c r="B6479" i="5"/>
  <c r="A6479" i="5"/>
  <c r="B6478" i="5"/>
  <c r="A6478" i="5"/>
  <c r="B6477" i="5"/>
  <c r="A6477" i="5"/>
  <c r="B6476" i="5"/>
  <c r="A6476" i="5"/>
  <c r="B6475" i="5"/>
  <c r="A6475" i="5"/>
  <c r="B6474" i="5"/>
  <c r="A6474" i="5"/>
  <c r="B6473" i="5"/>
  <c r="A6473" i="5"/>
  <c r="B6472" i="5"/>
  <c r="A6472" i="5"/>
  <c r="B6471" i="5"/>
  <c r="A6471" i="5"/>
  <c r="B6470" i="5"/>
  <c r="A6470" i="5"/>
  <c r="B6469" i="5"/>
  <c r="A6469" i="5"/>
  <c r="B6468" i="5"/>
  <c r="A6468" i="5"/>
  <c r="B6467" i="5"/>
  <c r="A6467" i="5"/>
  <c r="B6466" i="5"/>
  <c r="A6466" i="5"/>
  <c r="B6465" i="5"/>
  <c r="A6465" i="5"/>
  <c r="B6464" i="5"/>
  <c r="A6464" i="5"/>
  <c r="B6463" i="5"/>
  <c r="A6463" i="5"/>
  <c r="B6462" i="5"/>
  <c r="A6462" i="5"/>
  <c r="B6461" i="5"/>
  <c r="A6461" i="5"/>
  <c r="B6460" i="5"/>
  <c r="A6460" i="5"/>
  <c r="B6459" i="5"/>
  <c r="A6459" i="5"/>
  <c r="B6458" i="5"/>
  <c r="A6458" i="5"/>
  <c r="B6457" i="5"/>
  <c r="A6457" i="5"/>
  <c r="B6456" i="5"/>
  <c r="A6456" i="5"/>
  <c r="B6455" i="5"/>
  <c r="A6455" i="5"/>
  <c r="B6454" i="5"/>
  <c r="A6454" i="5"/>
  <c r="B6453" i="5"/>
  <c r="A6453" i="5"/>
  <c r="B6452" i="5"/>
  <c r="A6452" i="5"/>
  <c r="B6451" i="5"/>
  <c r="A6451" i="5"/>
  <c r="B6450" i="5"/>
  <c r="A6450" i="5"/>
  <c r="B6449" i="5"/>
  <c r="A6449" i="5"/>
  <c r="B6448" i="5"/>
  <c r="A6448" i="5"/>
  <c r="B6447" i="5"/>
  <c r="A6447" i="5"/>
  <c r="B6446" i="5"/>
  <c r="A6446" i="5"/>
  <c r="B6445" i="5"/>
  <c r="A6445" i="5"/>
  <c r="B6444" i="5"/>
  <c r="A6444" i="5"/>
  <c r="B6443" i="5"/>
  <c r="A6443" i="5"/>
  <c r="B6442" i="5"/>
  <c r="A6442" i="5"/>
  <c r="B6441" i="5"/>
  <c r="A6441" i="5"/>
  <c r="B6440" i="5"/>
  <c r="A6440" i="5"/>
  <c r="B6439" i="5"/>
  <c r="A6439" i="5"/>
  <c r="B6438" i="5"/>
  <c r="A6438" i="5"/>
  <c r="B6437" i="5"/>
  <c r="A6437" i="5"/>
  <c r="B6436" i="5"/>
  <c r="A6436" i="5"/>
  <c r="B6435" i="5"/>
  <c r="A6435" i="5"/>
  <c r="B6434" i="5"/>
  <c r="A6434" i="5"/>
  <c r="B6433" i="5"/>
  <c r="A6433" i="5"/>
  <c r="B6432" i="5"/>
  <c r="A6432" i="5"/>
  <c r="B6431" i="5"/>
  <c r="A6431" i="5"/>
  <c r="B6430" i="5"/>
  <c r="A6430" i="5"/>
  <c r="B6429" i="5"/>
  <c r="A6429" i="5"/>
  <c r="B6428" i="5"/>
  <c r="A6428" i="5"/>
  <c r="B6427" i="5"/>
  <c r="A6427" i="5"/>
  <c r="B6426" i="5"/>
  <c r="A6426" i="5"/>
  <c r="B6425" i="5"/>
  <c r="A6425" i="5"/>
  <c r="B6424" i="5"/>
  <c r="A6424" i="5"/>
  <c r="B6423" i="5"/>
  <c r="A6423" i="5"/>
  <c r="B6422" i="5"/>
  <c r="A6422" i="5"/>
  <c r="B6421" i="5"/>
  <c r="A6421" i="5"/>
  <c r="B6420" i="5"/>
  <c r="A6420" i="5"/>
  <c r="B6419" i="5"/>
  <c r="A6419" i="5"/>
  <c r="B6418" i="5"/>
  <c r="A6418" i="5"/>
  <c r="B6417" i="5"/>
  <c r="A6417" i="5"/>
  <c r="B6416" i="5"/>
  <c r="A6416" i="5"/>
  <c r="B6415" i="5"/>
  <c r="A6415" i="5"/>
  <c r="B6414" i="5"/>
  <c r="A6414" i="5"/>
  <c r="B6413" i="5"/>
  <c r="A6413" i="5"/>
  <c r="B6412" i="5"/>
  <c r="A6412" i="5"/>
  <c r="B6411" i="5"/>
  <c r="A6411" i="5"/>
  <c r="B6410" i="5"/>
  <c r="A6410" i="5"/>
  <c r="B6409" i="5"/>
  <c r="A6409" i="5"/>
  <c r="B6408" i="5"/>
  <c r="A6408" i="5"/>
  <c r="B6407" i="5"/>
  <c r="A6407" i="5"/>
  <c r="B6406" i="5"/>
  <c r="A6406" i="5"/>
  <c r="B6405" i="5"/>
  <c r="A6405" i="5"/>
  <c r="B6404" i="5"/>
  <c r="A6404" i="5"/>
  <c r="B6403" i="5"/>
  <c r="A6403" i="5"/>
  <c r="B6402" i="5"/>
  <c r="A6402" i="5"/>
  <c r="B6401" i="5"/>
  <c r="A6401" i="5"/>
  <c r="B6400" i="5"/>
  <c r="A6400" i="5"/>
  <c r="B6399" i="5"/>
  <c r="A6399" i="5"/>
  <c r="B6398" i="5"/>
  <c r="A6398" i="5"/>
  <c r="B6397" i="5"/>
  <c r="A6397" i="5"/>
  <c r="B6396" i="5"/>
  <c r="A6396" i="5"/>
  <c r="B6395" i="5"/>
  <c r="A6395" i="5"/>
  <c r="B6394" i="5"/>
  <c r="A6394" i="5"/>
  <c r="B6393" i="5"/>
  <c r="A6393" i="5"/>
  <c r="B6392" i="5"/>
  <c r="A6392" i="5"/>
  <c r="B6391" i="5"/>
  <c r="A6391" i="5"/>
  <c r="B6390" i="5"/>
  <c r="A6390" i="5"/>
  <c r="B6389" i="5"/>
  <c r="A6389" i="5"/>
  <c r="B6388" i="5"/>
  <c r="A6388" i="5"/>
  <c r="B6387" i="5"/>
  <c r="A6387" i="5"/>
  <c r="B6386" i="5"/>
  <c r="A6386" i="5"/>
  <c r="B6385" i="5"/>
  <c r="A6385" i="5"/>
  <c r="B6384" i="5"/>
  <c r="A6384" i="5"/>
  <c r="B6383" i="5"/>
  <c r="A6383" i="5"/>
  <c r="B6382" i="5"/>
  <c r="A6382" i="5"/>
  <c r="B6381" i="5"/>
  <c r="A6381" i="5"/>
  <c r="B6380" i="5"/>
  <c r="A6380" i="5"/>
  <c r="B6379" i="5"/>
  <c r="A6379" i="5"/>
  <c r="B6378" i="5"/>
  <c r="A6378" i="5"/>
  <c r="B6377" i="5"/>
  <c r="A6377" i="5"/>
  <c r="B6376" i="5"/>
  <c r="A6376" i="5"/>
  <c r="B6375" i="5"/>
  <c r="A6375" i="5"/>
  <c r="B6374" i="5"/>
  <c r="A6374" i="5"/>
  <c r="B6373" i="5"/>
  <c r="A6373" i="5"/>
  <c r="B6372" i="5"/>
  <c r="A6372" i="5"/>
  <c r="B6371" i="5"/>
  <c r="A6371" i="5"/>
  <c r="B6370" i="5"/>
  <c r="A6370" i="5"/>
  <c r="B6369" i="5"/>
  <c r="A6369" i="5"/>
  <c r="B6368" i="5"/>
  <c r="A6368" i="5"/>
  <c r="B6367" i="5"/>
  <c r="A6367" i="5"/>
  <c r="B6366" i="5"/>
  <c r="A6366" i="5"/>
  <c r="B6365" i="5"/>
  <c r="A6365" i="5"/>
  <c r="B6364" i="5"/>
  <c r="A6364" i="5"/>
  <c r="B6363" i="5"/>
  <c r="A6363" i="5"/>
  <c r="B6362" i="5"/>
  <c r="A6362" i="5"/>
  <c r="B6361" i="5"/>
  <c r="A6361" i="5"/>
  <c r="B6360" i="5"/>
  <c r="A6360" i="5"/>
  <c r="B6359" i="5"/>
  <c r="A6359" i="5"/>
  <c r="B6358" i="5"/>
  <c r="A6358" i="5"/>
  <c r="B6357" i="5"/>
  <c r="A6357" i="5"/>
  <c r="B6356" i="5"/>
  <c r="A6356" i="5"/>
  <c r="B6355" i="5"/>
  <c r="A6355" i="5"/>
  <c r="B6354" i="5"/>
  <c r="A6354" i="5"/>
  <c r="B6353" i="5"/>
  <c r="A6353" i="5"/>
  <c r="B6352" i="5"/>
  <c r="A6352" i="5"/>
  <c r="B6351" i="5"/>
  <c r="A6351" i="5"/>
  <c r="B6350" i="5"/>
  <c r="A6350" i="5"/>
  <c r="B6349" i="5"/>
  <c r="A6349" i="5"/>
  <c r="B6348" i="5"/>
  <c r="A6348" i="5"/>
  <c r="B6347" i="5"/>
  <c r="A6347" i="5"/>
  <c r="B6346" i="5"/>
  <c r="A6346" i="5"/>
  <c r="B6345" i="5"/>
  <c r="A6345" i="5"/>
  <c r="B6344" i="5"/>
  <c r="A6344" i="5"/>
  <c r="B6343" i="5"/>
  <c r="A6343" i="5"/>
  <c r="B6342" i="5"/>
  <c r="A6342" i="5"/>
  <c r="B6341" i="5"/>
  <c r="A6341" i="5"/>
  <c r="B6340" i="5"/>
  <c r="A6340" i="5"/>
  <c r="B6339" i="5"/>
  <c r="A6339" i="5"/>
  <c r="B6338" i="5"/>
  <c r="A6338" i="5"/>
  <c r="B6337" i="5"/>
  <c r="A6337" i="5"/>
  <c r="B6336" i="5"/>
  <c r="A6336" i="5"/>
  <c r="B6335" i="5"/>
  <c r="A6335" i="5"/>
  <c r="B6334" i="5"/>
  <c r="A6334" i="5"/>
  <c r="B6333" i="5"/>
  <c r="A6333" i="5"/>
  <c r="B6332" i="5"/>
  <c r="A6332" i="5"/>
  <c r="B6331" i="5"/>
  <c r="A6331" i="5"/>
  <c r="B6330" i="5"/>
  <c r="A6330" i="5"/>
  <c r="B6329" i="5"/>
  <c r="A6329" i="5"/>
  <c r="B6328" i="5"/>
  <c r="A6328" i="5"/>
  <c r="B6327" i="5"/>
  <c r="A6327" i="5"/>
  <c r="B6326" i="5"/>
  <c r="A6326" i="5"/>
  <c r="B6325" i="5"/>
  <c r="A6325" i="5"/>
  <c r="B6324" i="5"/>
  <c r="A6324" i="5"/>
  <c r="B6323" i="5"/>
  <c r="A6323" i="5"/>
  <c r="B6322" i="5"/>
  <c r="A6322" i="5"/>
  <c r="B6321" i="5"/>
  <c r="A6321" i="5"/>
  <c r="B6320" i="5"/>
  <c r="A6320" i="5"/>
  <c r="B6319" i="5"/>
  <c r="A6319" i="5"/>
  <c r="B6318" i="5"/>
  <c r="A6318" i="5"/>
  <c r="B6317" i="5"/>
  <c r="A6317" i="5"/>
  <c r="B6316" i="5"/>
  <c r="A6316" i="5"/>
  <c r="B6315" i="5"/>
  <c r="A6315" i="5"/>
  <c r="B6314" i="5"/>
  <c r="A6314" i="5"/>
  <c r="B6313" i="5"/>
  <c r="A6313" i="5"/>
  <c r="B6312" i="5"/>
  <c r="A6312" i="5"/>
  <c r="B6311" i="5"/>
  <c r="A6311" i="5"/>
  <c r="B6310" i="5"/>
  <c r="A6310" i="5"/>
  <c r="B6309" i="5"/>
  <c r="A6309" i="5"/>
  <c r="B6308" i="5"/>
  <c r="A6308" i="5"/>
  <c r="B6307" i="5"/>
  <c r="A6307" i="5"/>
  <c r="B6306" i="5"/>
  <c r="A6306" i="5"/>
  <c r="B6305" i="5"/>
  <c r="A6305" i="5"/>
  <c r="B6304" i="5"/>
  <c r="A6304" i="5"/>
  <c r="B6303" i="5"/>
  <c r="A6303" i="5"/>
  <c r="B6302" i="5"/>
  <c r="A6302" i="5"/>
  <c r="B6301" i="5"/>
  <c r="A6301" i="5"/>
  <c r="B6300" i="5"/>
  <c r="A6300" i="5"/>
  <c r="B6299" i="5"/>
  <c r="A6299" i="5"/>
  <c r="B6298" i="5"/>
  <c r="A6298" i="5"/>
  <c r="B6297" i="5"/>
  <c r="A6297" i="5"/>
  <c r="B6296" i="5"/>
  <c r="A6296" i="5"/>
  <c r="B6295" i="5"/>
  <c r="A6295" i="5"/>
  <c r="B6294" i="5"/>
  <c r="A6294" i="5"/>
  <c r="B6293" i="5"/>
  <c r="A6293" i="5"/>
  <c r="B6292" i="5"/>
  <c r="A6292" i="5"/>
  <c r="B6291" i="5"/>
  <c r="A6291" i="5"/>
  <c r="B6290" i="5"/>
  <c r="A6290" i="5"/>
  <c r="B6289" i="5"/>
  <c r="A6289" i="5"/>
  <c r="B6288" i="5"/>
  <c r="A6288" i="5"/>
  <c r="B6287" i="5"/>
  <c r="A6287" i="5"/>
  <c r="B6286" i="5"/>
  <c r="A6286" i="5"/>
  <c r="B6285" i="5"/>
  <c r="A6285" i="5"/>
  <c r="B6284" i="5"/>
  <c r="A6284" i="5"/>
  <c r="B6283" i="5"/>
  <c r="A6283" i="5"/>
  <c r="B6282" i="5"/>
  <c r="A6282" i="5"/>
  <c r="B6281" i="5"/>
  <c r="A6281" i="5"/>
  <c r="B6280" i="5"/>
  <c r="A6280" i="5"/>
  <c r="B6279" i="5"/>
  <c r="A6279" i="5"/>
  <c r="B6278" i="5"/>
  <c r="A6278" i="5"/>
  <c r="B6277" i="5"/>
  <c r="A6277" i="5"/>
  <c r="B6276" i="5"/>
  <c r="A6276" i="5"/>
  <c r="B6275" i="5"/>
  <c r="A6275" i="5"/>
  <c r="B6274" i="5"/>
  <c r="A6274" i="5"/>
  <c r="B6273" i="5"/>
  <c r="A6273" i="5"/>
  <c r="B6272" i="5"/>
  <c r="A6272" i="5"/>
  <c r="B6271" i="5"/>
  <c r="A6271" i="5"/>
  <c r="B6270" i="5"/>
  <c r="A6270" i="5"/>
  <c r="B6269" i="5"/>
  <c r="A6269" i="5"/>
  <c r="B6268" i="5"/>
  <c r="A6268" i="5"/>
  <c r="B6267" i="5"/>
  <c r="A6267" i="5"/>
  <c r="B6266" i="5"/>
  <c r="A6266" i="5"/>
  <c r="B6265" i="5"/>
  <c r="A6265" i="5"/>
  <c r="B6264" i="5"/>
  <c r="A6264" i="5"/>
  <c r="B6263" i="5"/>
  <c r="A6263" i="5"/>
  <c r="B6262" i="5"/>
  <c r="A6262" i="5"/>
  <c r="B6261" i="5"/>
  <c r="A6261" i="5"/>
  <c r="B6260" i="5"/>
  <c r="A6260" i="5"/>
  <c r="B6259" i="5"/>
  <c r="A6259" i="5"/>
  <c r="B6258" i="5"/>
  <c r="A6258" i="5"/>
  <c r="B6257" i="5"/>
  <c r="A6257" i="5"/>
  <c r="B6256" i="5"/>
  <c r="A6256" i="5"/>
  <c r="B6255" i="5"/>
  <c r="A6255" i="5"/>
  <c r="B6254" i="5"/>
  <c r="A6254" i="5"/>
  <c r="B6253" i="5"/>
  <c r="A6253" i="5"/>
  <c r="B6252" i="5"/>
  <c r="A6252" i="5"/>
  <c r="B6251" i="5"/>
  <c r="A6251" i="5"/>
  <c r="B6250" i="5"/>
  <c r="A6250" i="5"/>
  <c r="B6249" i="5"/>
  <c r="A6249" i="5"/>
  <c r="B6248" i="5"/>
  <c r="A6248" i="5"/>
  <c r="B6247" i="5"/>
  <c r="A6247" i="5"/>
  <c r="B6246" i="5"/>
  <c r="A6246" i="5"/>
  <c r="B6245" i="5"/>
  <c r="A6245" i="5"/>
  <c r="B6244" i="5"/>
  <c r="A6244" i="5"/>
  <c r="B6243" i="5"/>
  <c r="A6243" i="5"/>
  <c r="B6242" i="5"/>
  <c r="A6242" i="5"/>
  <c r="B6241" i="5"/>
  <c r="A6241" i="5"/>
  <c r="B6240" i="5"/>
  <c r="A6240" i="5"/>
  <c r="B6239" i="5"/>
  <c r="A6239" i="5"/>
  <c r="B6238" i="5"/>
  <c r="A6238" i="5"/>
  <c r="B6237" i="5"/>
  <c r="A6237" i="5"/>
  <c r="B6236" i="5"/>
  <c r="A6236" i="5"/>
  <c r="B6235" i="5"/>
  <c r="A6235" i="5"/>
  <c r="B6234" i="5"/>
  <c r="A6234" i="5"/>
  <c r="B6233" i="5"/>
  <c r="A6233" i="5"/>
  <c r="B6232" i="5"/>
  <c r="A6232" i="5"/>
  <c r="B6231" i="5"/>
  <c r="A6231" i="5"/>
  <c r="B6230" i="5"/>
  <c r="A6230" i="5"/>
  <c r="B6229" i="5"/>
  <c r="A6229" i="5"/>
  <c r="B6228" i="5"/>
  <c r="A6228" i="5"/>
  <c r="B6227" i="5"/>
  <c r="A6227" i="5"/>
  <c r="B6226" i="5"/>
  <c r="A6226" i="5"/>
  <c r="B6225" i="5"/>
  <c r="A6225" i="5"/>
  <c r="B6224" i="5"/>
  <c r="A6224" i="5"/>
  <c r="B6223" i="5"/>
  <c r="A6223" i="5"/>
  <c r="B6222" i="5"/>
  <c r="A6222" i="5"/>
  <c r="B6221" i="5"/>
  <c r="A6221" i="5"/>
  <c r="B6220" i="5"/>
  <c r="A6220" i="5"/>
  <c r="B6219" i="5"/>
  <c r="A6219" i="5"/>
  <c r="B6218" i="5"/>
  <c r="A6218" i="5"/>
  <c r="B6217" i="5"/>
  <c r="A6217" i="5"/>
  <c r="B6216" i="5"/>
  <c r="A6216" i="5"/>
  <c r="B6215" i="5"/>
  <c r="A6215" i="5"/>
  <c r="B6214" i="5"/>
  <c r="A6214" i="5"/>
  <c r="B6213" i="5"/>
  <c r="A6213" i="5"/>
  <c r="B6212" i="5"/>
  <c r="A6212" i="5"/>
  <c r="B6211" i="5"/>
  <c r="A6211" i="5"/>
  <c r="B6210" i="5"/>
  <c r="A6210" i="5"/>
  <c r="B6209" i="5"/>
  <c r="A6209" i="5"/>
  <c r="B6208" i="5"/>
  <c r="A6208" i="5"/>
  <c r="B6207" i="5"/>
  <c r="A6207" i="5"/>
  <c r="B6206" i="5"/>
  <c r="A6206" i="5"/>
  <c r="B6205" i="5"/>
  <c r="A6205" i="5"/>
  <c r="B6204" i="5"/>
  <c r="A6204" i="5"/>
  <c r="B6203" i="5"/>
  <c r="A6203" i="5"/>
  <c r="B6202" i="5"/>
  <c r="A6202" i="5"/>
  <c r="B6201" i="5"/>
  <c r="A6201" i="5"/>
  <c r="B6200" i="5"/>
  <c r="A6200" i="5"/>
  <c r="B6199" i="5"/>
  <c r="A6199" i="5"/>
  <c r="B6198" i="5"/>
  <c r="A6198" i="5"/>
  <c r="B6197" i="5"/>
  <c r="A6197" i="5"/>
  <c r="B6196" i="5"/>
  <c r="A6196" i="5"/>
  <c r="B6195" i="5"/>
  <c r="A6195" i="5"/>
  <c r="B6194" i="5"/>
  <c r="A6194" i="5"/>
  <c r="B6193" i="5"/>
  <c r="A6193" i="5"/>
  <c r="B6192" i="5"/>
  <c r="A6192" i="5"/>
  <c r="B6191" i="5"/>
  <c r="A6191" i="5"/>
  <c r="B6190" i="5"/>
  <c r="A6190" i="5"/>
  <c r="B6189" i="5"/>
  <c r="A6189" i="5"/>
  <c r="B6188" i="5"/>
  <c r="A6188" i="5"/>
  <c r="B6187" i="5"/>
  <c r="A6187" i="5"/>
  <c r="B6186" i="5"/>
  <c r="A6186" i="5"/>
  <c r="B6185" i="5"/>
  <c r="A6185" i="5"/>
  <c r="B6184" i="5"/>
  <c r="A6184" i="5"/>
  <c r="B6183" i="5"/>
  <c r="A6183" i="5"/>
  <c r="B6182" i="5"/>
  <c r="A6182" i="5"/>
  <c r="B6181" i="5"/>
  <c r="A6181" i="5"/>
  <c r="B6180" i="5"/>
  <c r="A6180" i="5"/>
  <c r="B6179" i="5"/>
  <c r="A6179" i="5"/>
  <c r="B6178" i="5"/>
  <c r="A6178" i="5"/>
  <c r="B6177" i="5"/>
  <c r="A6177" i="5"/>
  <c r="B6176" i="5"/>
  <c r="A6176" i="5"/>
  <c r="B6175" i="5"/>
  <c r="A6175" i="5"/>
  <c r="B6174" i="5"/>
  <c r="A6174" i="5"/>
  <c r="B6173" i="5"/>
  <c r="A6173" i="5"/>
  <c r="B6172" i="5"/>
  <c r="A6172" i="5"/>
  <c r="B6171" i="5"/>
  <c r="A6171" i="5"/>
  <c r="B6170" i="5"/>
  <c r="A6170" i="5"/>
  <c r="B6169" i="5"/>
  <c r="A6169" i="5"/>
  <c r="B6168" i="5"/>
  <c r="A6168" i="5"/>
  <c r="B6167" i="5"/>
  <c r="A6167" i="5"/>
  <c r="B6166" i="5"/>
  <c r="A6166" i="5"/>
  <c r="B6165" i="5"/>
  <c r="A6165" i="5"/>
  <c r="B6164" i="5"/>
  <c r="A6164" i="5"/>
  <c r="B6163" i="5"/>
  <c r="A6163" i="5"/>
  <c r="B6162" i="5"/>
  <c r="A6162" i="5"/>
  <c r="B6161" i="5"/>
  <c r="A6161" i="5"/>
  <c r="B6160" i="5"/>
  <c r="A6160" i="5"/>
  <c r="B6159" i="5"/>
  <c r="A6159" i="5"/>
  <c r="B6158" i="5"/>
  <c r="A6158" i="5"/>
  <c r="B6157" i="5"/>
  <c r="A6157" i="5"/>
  <c r="B6156" i="5"/>
  <c r="A6156" i="5"/>
  <c r="B6155" i="5"/>
  <c r="A6155" i="5"/>
  <c r="B6154" i="5"/>
  <c r="A6154" i="5"/>
  <c r="B6153" i="5"/>
  <c r="A6153" i="5"/>
  <c r="B6152" i="5"/>
  <c r="A6152" i="5"/>
  <c r="B6151" i="5"/>
  <c r="A6151" i="5"/>
  <c r="B6150" i="5"/>
  <c r="A6150" i="5"/>
  <c r="B6149" i="5"/>
  <c r="A6149" i="5"/>
  <c r="B6148" i="5"/>
  <c r="A6148" i="5"/>
  <c r="B6147" i="5"/>
  <c r="A6147" i="5"/>
  <c r="B6146" i="5"/>
  <c r="A6146" i="5"/>
  <c r="B6145" i="5"/>
  <c r="A6145" i="5"/>
  <c r="B6144" i="5"/>
  <c r="A6144" i="5"/>
  <c r="B6143" i="5"/>
  <c r="A6143" i="5"/>
  <c r="B6142" i="5"/>
  <c r="A6142" i="5"/>
  <c r="B6141" i="5"/>
  <c r="A6141" i="5"/>
  <c r="B6140" i="5"/>
  <c r="A6140" i="5"/>
  <c r="B6139" i="5"/>
  <c r="A6139" i="5"/>
  <c r="B6138" i="5"/>
  <c r="A6138" i="5"/>
  <c r="B6137" i="5"/>
  <c r="A6137" i="5"/>
  <c r="B6136" i="5"/>
  <c r="A6136" i="5"/>
  <c r="B6135" i="5"/>
  <c r="A6135" i="5"/>
  <c r="B6134" i="5"/>
  <c r="A6134" i="5"/>
  <c r="B6133" i="5"/>
  <c r="A6133" i="5"/>
  <c r="B6132" i="5"/>
  <c r="A6132" i="5"/>
  <c r="B6131" i="5"/>
  <c r="A6131" i="5"/>
  <c r="B6130" i="5"/>
  <c r="A6130" i="5"/>
  <c r="B6129" i="5"/>
  <c r="A6129" i="5"/>
  <c r="B6128" i="5"/>
  <c r="A6128" i="5"/>
  <c r="B6127" i="5"/>
  <c r="A6127" i="5"/>
  <c r="B6126" i="5"/>
  <c r="A6126" i="5"/>
  <c r="B6125" i="5"/>
  <c r="A6125" i="5"/>
  <c r="B6124" i="5"/>
  <c r="A6124" i="5"/>
  <c r="B6123" i="5"/>
  <c r="A6123" i="5"/>
  <c r="B6122" i="5"/>
  <c r="A6122" i="5"/>
  <c r="B6121" i="5"/>
  <c r="A6121" i="5"/>
  <c r="B6120" i="5"/>
  <c r="A6120" i="5"/>
  <c r="B6119" i="5"/>
  <c r="A6119" i="5"/>
  <c r="B6118" i="5"/>
  <c r="A6118" i="5"/>
  <c r="B6117" i="5"/>
  <c r="A6117" i="5"/>
  <c r="B6116" i="5"/>
  <c r="A6116" i="5"/>
  <c r="B6115" i="5"/>
  <c r="A6115" i="5"/>
  <c r="B6114" i="5"/>
  <c r="A6114" i="5"/>
  <c r="B6113" i="5"/>
  <c r="A6113" i="5"/>
  <c r="B6112" i="5"/>
  <c r="A6112" i="5"/>
  <c r="B6111" i="5"/>
  <c r="A6111" i="5"/>
  <c r="B6110" i="5"/>
  <c r="A6110" i="5"/>
  <c r="B6109" i="5"/>
  <c r="A6109" i="5"/>
  <c r="B6108" i="5"/>
  <c r="A6108" i="5"/>
  <c r="B6107" i="5"/>
  <c r="A6107" i="5"/>
  <c r="B6106" i="5"/>
  <c r="A6106" i="5"/>
  <c r="B6105" i="5"/>
  <c r="A6105" i="5"/>
  <c r="B6104" i="5"/>
  <c r="A6104" i="5"/>
  <c r="B6103" i="5"/>
  <c r="A6103" i="5"/>
  <c r="B6102" i="5"/>
  <c r="A6102" i="5"/>
  <c r="B6101" i="5"/>
  <c r="A6101" i="5"/>
  <c r="B6100" i="5"/>
  <c r="A6100" i="5"/>
  <c r="B6099" i="5"/>
  <c r="A6099" i="5"/>
  <c r="B6098" i="5"/>
  <c r="A6098" i="5"/>
  <c r="B6097" i="5"/>
  <c r="A6097" i="5"/>
  <c r="B6096" i="5"/>
  <c r="A6096" i="5"/>
  <c r="B6095" i="5"/>
  <c r="A6095" i="5"/>
  <c r="B6094" i="5"/>
  <c r="A6094" i="5"/>
  <c r="B6093" i="5"/>
  <c r="A6093" i="5"/>
  <c r="B6092" i="5"/>
  <c r="A6092" i="5"/>
  <c r="B6091" i="5"/>
  <c r="A6091" i="5"/>
  <c r="B6090" i="5"/>
  <c r="A6090" i="5"/>
  <c r="B6089" i="5"/>
  <c r="A6089" i="5"/>
  <c r="B6088" i="5"/>
  <c r="A6088" i="5"/>
  <c r="B6087" i="5"/>
  <c r="A6087" i="5"/>
  <c r="B6086" i="5"/>
  <c r="A6086" i="5"/>
  <c r="B6085" i="5"/>
  <c r="A6085" i="5"/>
  <c r="B6084" i="5"/>
  <c r="A6084" i="5"/>
  <c r="B6083" i="5"/>
  <c r="A6083" i="5"/>
  <c r="B6082" i="5"/>
  <c r="A6082" i="5"/>
  <c r="B6081" i="5"/>
  <c r="A6081" i="5"/>
  <c r="B6080" i="5"/>
  <c r="A6080" i="5"/>
  <c r="B6079" i="5"/>
  <c r="A6079" i="5"/>
  <c r="B6078" i="5"/>
  <c r="A6078" i="5"/>
  <c r="B6077" i="5"/>
  <c r="A6077" i="5"/>
  <c r="B6076" i="5"/>
  <c r="A6076" i="5"/>
  <c r="B6075" i="5"/>
  <c r="A6075" i="5"/>
  <c r="B6074" i="5"/>
  <c r="A6074" i="5"/>
  <c r="B6073" i="5"/>
  <c r="A6073" i="5"/>
  <c r="B6072" i="5"/>
  <c r="A6072" i="5"/>
  <c r="B6071" i="5"/>
  <c r="A6071" i="5"/>
  <c r="B6070" i="5"/>
  <c r="A6070" i="5"/>
  <c r="B6069" i="5"/>
  <c r="A6069" i="5"/>
  <c r="B6068" i="5"/>
  <c r="A6068" i="5"/>
  <c r="B6067" i="5"/>
  <c r="A6067" i="5"/>
  <c r="B6066" i="5"/>
  <c r="A6066" i="5"/>
  <c r="B6065" i="5"/>
  <c r="A6065" i="5"/>
  <c r="B6064" i="5"/>
  <c r="A6064" i="5"/>
  <c r="B6063" i="5"/>
  <c r="A6063" i="5"/>
  <c r="B6062" i="5"/>
  <c r="A6062" i="5"/>
  <c r="B6061" i="5"/>
  <c r="A6061" i="5"/>
  <c r="B6060" i="5"/>
  <c r="A6060" i="5"/>
  <c r="B6059" i="5"/>
  <c r="A6059" i="5"/>
  <c r="B6058" i="5"/>
  <c r="A6058" i="5"/>
  <c r="B6057" i="5"/>
  <c r="A6057" i="5"/>
  <c r="B6056" i="5"/>
  <c r="A6056" i="5"/>
  <c r="B6055" i="5"/>
  <c r="A6055" i="5"/>
  <c r="B6054" i="5"/>
  <c r="A6054" i="5"/>
  <c r="B6053" i="5"/>
  <c r="A6053" i="5"/>
  <c r="B6052" i="5"/>
  <c r="A6052" i="5"/>
  <c r="B6051" i="5"/>
  <c r="A6051" i="5"/>
  <c r="B6050" i="5"/>
  <c r="A6050" i="5"/>
  <c r="B6049" i="5"/>
  <c r="A6049" i="5"/>
  <c r="B6048" i="5"/>
  <c r="A6048" i="5"/>
  <c r="B6047" i="5"/>
  <c r="A6047" i="5"/>
  <c r="B6046" i="5"/>
  <c r="A6046" i="5"/>
  <c r="B6045" i="5"/>
  <c r="A6045" i="5"/>
  <c r="B6044" i="5"/>
  <c r="A6044" i="5"/>
  <c r="B6043" i="5"/>
  <c r="A6043" i="5"/>
  <c r="B6042" i="5"/>
  <c r="A6042" i="5"/>
  <c r="B6041" i="5"/>
  <c r="A6041" i="5"/>
  <c r="B6040" i="5"/>
  <c r="A6040" i="5"/>
  <c r="B6039" i="5"/>
  <c r="A6039" i="5"/>
  <c r="B6038" i="5"/>
  <c r="A6038" i="5"/>
  <c r="B6037" i="5"/>
  <c r="A6037" i="5"/>
  <c r="B6036" i="5"/>
  <c r="A6036" i="5"/>
  <c r="B6035" i="5"/>
  <c r="A6035" i="5"/>
  <c r="B6034" i="5"/>
  <c r="A6034" i="5"/>
  <c r="B6033" i="5"/>
  <c r="A6033" i="5"/>
  <c r="B6032" i="5"/>
  <c r="A6032" i="5"/>
  <c r="B6031" i="5"/>
  <c r="A6031" i="5"/>
  <c r="B6030" i="5"/>
  <c r="A6030" i="5"/>
  <c r="B6029" i="5"/>
  <c r="A6029" i="5"/>
  <c r="B6028" i="5"/>
  <c r="A6028" i="5"/>
  <c r="B6027" i="5"/>
  <c r="A6027" i="5"/>
  <c r="B6026" i="5"/>
  <c r="A6026" i="5"/>
  <c r="B6025" i="5"/>
  <c r="A6025" i="5"/>
  <c r="B6024" i="5"/>
  <c r="A6024" i="5"/>
  <c r="B6023" i="5"/>
  <c r="A6023" i="5"/>
  <c r="B6022" i="5"/>
  <c r="A6022" i="5"/>
  <c r="B6021" i="5"/>
  <c r="A6021" i="5"/>
  <c r="B6020" i="5"/>
  <c r="A6020" i="5"/>
  <c r="B6019" i="5"/>
  <c r="A6019" i="5"/>
  <c r="B6018" i="5"/>
  <c r="A6018" i="5"/>
  <c r="B6017" i="5"/>
  <c r="A6017" i="5"/>
  <c r="B6016" i="5"/>
  <c r="A6016" i="5"/>
  <c r="B6015" i="5"/>
  <c r="A6015" i="5"/>
  <c r="B6014" i="5"/>
  <c r="A6014" i="5"/>
  <c r="B6013" i="5"/>
  <c r="A6013" i="5"/>
  <c r="B6012" i="5"/>
  <c r="A6012" i="5"/>
  <c r="B6011" i="5"/>
  <c r="A6011" i="5"/>
  <c r="B6010" i="5"/>
  <c r="A6010" i="5"/>
  <c r="B6009" i="5"/>
  <c r="A6009" i="5"/>
  <c r="B6008" i="5"/>
  <c r="A6008" i="5"/>
  <c r="B6007" i="5"/>
  <c r="A6007" i="5"/>
  <c r="B6006" i="5"/>
  <c r="A6006" i="5"/>
  <c r="B6005" i="5"/>
  <c r="A6005" i="5"/>
  <c r="B6004" i="5"/>
  <c r="A6004" i="5"/>
  <c r="B6003" i="5"/>
  <c r="A6003" i="5"/>
  <c r="B6002" i="5"/>
  <c r="A6002" i="5"/>
  <c r="B6001" i="5"/>
  <c r="A6001" i="5"/>
  <c r="B6000" i="5"/>
  <c r="A6000" i="5"/>
  <c r="B5999" i="5"/>
  <c r="A5999" i="5"/>
  <c r="B5998" i="5"/>
  <c r="A5998" i="5"/>
  <c r="B5997" i="5"/>
  <c r="A5997" i="5"/>
  <c r="B5996" i="5"/>
  <c r="A5996" i="5"/>
  <c r="B5995" i="5"/>
  <c r="A5995" i="5"/>
  <c r="B5994" i="5"/>
  <c r="A5994" i="5"/>
  <c r="B5993" i="5"/>
  <c r="A5993" i="5"/>
  <c r="B5992" i="5"/>
  <c r="A5992" i="5"/>
  <c r="B5991" i="5"/>
  <c r="A5991" i="5"/>
  <c r="B5990" i="5"/>
  <c r="A5990" i="5"/>
  <c r="B5989" i="5"/>
  <c r="A5989" i="5"/>
  <c r="B5988" i="5"/>
  <c r="A5988" i="5"/>
  <c r="B5987" i="5"/>
  <c r="A5987" i="5"/>
  <c r="B5986" i="5"/>
  <c r="A5986" i="5"/>
  <c r="B5985" i="5"/>
  <c r="A5985" i="5"/>
  <c r="B5984" i="5"/>
  <c r="A5984" i="5"/>
  <c r="B5983" i="5"/>
  <c r="A5983" i="5"/>
  <c r="B5982" i="5"/>
  <c r="A5982" i="5"/>
  <c r="B5981" i="5"/>
  <c r="A5981" i="5"/>
  <c r="B5980" i="5"/>
  <c r="A5980" i="5"/>
  <c r="B5979" i="5"/>
  <c r="A5979" i="5"/>
  <c r="B5978" i="5"/>
  <c r="A5978" i="5"/>
  <c r="B5977" i="5"/>
  <c r="A5977" i="5"/>
  <c r="B5976" i="5"/>
  <c r="A5976" i="5"/>
  <c r="B5975" i="5"/>
  <c r="A5975" i="5"/>
  <c r="B5974" i="5"/>
  <c r="A5974" i="5"/>
  <c r="B5973" i="5"/>
  <c r="A5973" i="5"/>
  <c r="B5972" i="5"/>
  <c r="A5972" i="5"/>
  <c r="B5971" i="5"/>
  <c r="A5971" i="5"/>
  <c r="B5970" i="5"/>
  <c r="A5970" i="5"/>
  <c r="B5969" i="5"/>
  <c r="A5969" i="5"/>
  <c r="B5968" i="5"/>
  <c r="A5968" i="5"/>
  <c r="B5967" i="5"/>
  <c r="A5967" i="5"/>
  <c r="B5966" i="5"/>
  <c r="A5966" i="5"/>
  <c r="B5965" i="5"/>
  <c r="A5965" i="5"/>
  <c r="B5964" i="5"/>
  <c r="A5964" i="5"/>
  <c r="B5963" i="5"/>
  <c r="A5963" i="5"/>
  <c r="B5962" i="5"/>
  <c r="A5962" i="5"/>
  <c r="B5961" i="5"/>
  <c r="A5961" i="5"/>
  <c r="B5960" i="5"/>
  <c r="A5960" i="5"/>
  <c r="B5959" i="5"/>
  <c r="A5959" i="5"/>
  <c r="B5958" i="5"/>
  <c r="A5958" i="5"/>
  <c r="B5957" i="5"/>
  <c r="A5957" i="5"/>
  <c r="B5956" i="5"/>
  <c r="A5956" i="5"/>
  <c r="B5955" i="5"/>
  <c r="A5955" i="5"/>
  <c r="B5954" i="5"/>
  <c r="A5954" i="5"/>
  <c r="B5953" i="5"/>
  <c r="A5953" i="5"/>
  <c r="B5952" i="5"/>
  <c r="A5952" i="5"/>
  <c r="B5951" i="5"/>
  <c r="A5951" i="5"/>
  <c r="B5950" i="5"/>
  <c r="A5950" i="5"/>
  <c r="B5949" i="5"/>
  <c r="A5949" i="5"/>
  <c r="B5948" i="5"/>
  <c r="A5948" i="5"/>
  <c r="B5947" i="5"/>
  <c r="A5947" i="5"/>
  <c r="B5946" i="5"/>
  <c r="A5946" i="5"/>
  <c r="B5945" i="5"/>
  <c r="A5945" i="5"/>
  <c r="B5944" i="5"/>
  <c r="A5944" i="5"/>
  <c r="B5943" i="5"/>
  <c r="A5943" i="5"/>
  <c r="B5942" i="5"/>
  <c r="A5942" i="5"/>
  <c r="B5941" i="5"/>
  <c r="A5941" i="5"/>
  <c r="B5940" i="5"/>
  <c r="A5940" i="5"/>
  <c r="B5939" i="5"/>
  <c r="A5939" i="5"/>
  <c r="B5938" i="5"/>
  <c r="A5938" i="5"/>
  <c r="B5937" i="5"/>
  <c r="A5937" i="5"/>
  <c r="B5936" i="5"/>
  <c r="A5936" i="5"/>
  <c r="B5935" i="5"/>
  <c r="A5935" i="5"/>
  <c r="B5934" i="5"/>
  <c r="A5934" i="5"/>
  <c r="B5933" i="5"/>
  <c r="A5933" i="5"/>
  <c r="B5932" i="5"/>
  <c r="A5932" i="5"/>
  <c r="B5931" i="5"/>
  <c r="A5931" i="5"/>
  <c r="B5930" i="5"/>
  <c r="A5930" i="5"/>
  <c r="B5929" i="5"/>
  <c r="A5929" i="5"/>
  <c r="B5928" i="5"/>
  <c r="A5928" i="5"/>
  <c r="B5927" i="5"/>
  <c r="A5927" i="5"/>
  <c r="B5926" i="5"/>
  <c r="A5926" i="5"/>
  <c r="B5925" i="5"/>
  <c r="A5925" i="5"/>
  <c r="B5924" i="5"/>
  <c r="A5924" i="5"/>
  <c r="B5923" i="5"/>
  <c r="A5923" i="5"/>
  <c r="B5922" i="5"/>
  <c r="A5922" i="5"/>
  <c r="B5921" i="5"/>
  <c r="A5921" i="5"/>
  <c r="B5920" i="5"/>
  <c r="A5920" i="5"/>
  <c r="B5919" i="5"/>
  <c r="A5919" i="5"/>
  <c r="B5918" i="5"/>
  <c r="A5918" i="5"/>
  <c r="B5917" i="5"/>
  <c r="A5917" i="5"/>
  <c r="B5916" i="5"/>
  <c r="A5916" i="5"/>
  <c r="B5915" i="5"/>
  <c r="A5915" i="5"/>
  <c r="B5914" i="5"/>
  <c r="A5914" i="5"/>
  <c r="B5913" i="5"/>
  <c r="A5913" i="5"/>
  <c r="B5912" i="5"/>
  <c r="A5912" i="5"/>
  <c r="B5911" i="5"/>
  <c r="A5911" i="5"/>
  <c r="B5910" i="5"/>
  <c r="A5910" i="5"/>
  <c r="B5909" i="5"/>
  <c r="A5909" i="5"/>
  <c r="B5908" i="5"/>
  <c r="A5908" i="5"/>
  <c r="B5907" i="5"/>
  <c r="A5907" i="5"/>
  <c r="B5906" i="5"/>
  <c r="A5906" i="5"/>
  <c r="B5905" i="5"/>
  <c r="A5905" i="5"/>
  <c r="B5904" i="5"/>
  <c r="A5904" i="5"/>
  <c r="B5903" i="5"/>
  <c r="A5903" i="5"/>
  <c r="B5902" i="5"/>
  <c r="A5902" i="5"/>
  <c r="B5901" i="5"/>
  <c r="A5901" i="5"/>
  <c r="B5900" i="5"/>
  <c r="A5900" i="5"/>
  <c r="B5899" i="5"/>
  <c r="A5899" i="5"/>
  <c r="B5898" i="5"/>
  <c r="A5898" i="5"/>
  <c r="B5897" i="5"/>
  <c r="A5897" i="5"/>
  <c r="B5896" i="5"/>
  <c r="A5896" i="5"/>
  <c r="B5895" i="5"/>
  <c r="A5895" i="5"/>
  <c r="B5894" i="5"/>
  <c r="A5894" i="5"/>
  <c r="B5893" i="5"/>
  <c r="A5893" i="5"/>
  <c r="B5892" i="5"/>
  <c r="A5892" i="5"/>
  <c r="B5891" i="5"/>
  <c r="A5891" i="5"/>
  <c r="B5890" i="5"/>
  <c r="A5890" i="5"/>
  <c r="B5889" i="5"/>
  <c r="A5889" i="5"/>
  <c r="B5888" i="5"/>
  <c r="A5888" i="5"/>
  <c r="B5887" i="5"/>
  <c r="A5887" i="5"/>
  <c r="B5886" i="5"/>
  <c r="A5886" i="5"/>
  <c r="B5885" i="5"/>
  <c r="A5885" i="5"/>
  <c r="B5884" i="5"/>
  <c r="A5884" i="5"/>
  <c r="B5883" i="5"/>
  <c r="A5883" i="5"/>
  <c r="B5882" i="5"/>
  <c r="A5882" i="5"/>
  <c r="B5881" i="5"/>
  <c r="A5881" i="5"/>
  <c r="B5880" i="5"/>
  <c r="A5880" i="5"/>
  <c r="B5879" i="5"/>
  <c r="A5879" i="5"/>
  <c r="B5878" i="5"/>
  <c r="A5878" i="5"/>
  <c r="B5877" i="5"/>
  <c r="A5877" i="5"/>
  <c r="B5876" i="5"/>
  <c r="A5876" i="5"/>
  <c r="B5875" i="5"/>
  <c r="A5875" i="5"/>
  <c r="B5874" i="5"/>
  <c r="A5874" i="5"/>
  <c r="B5873" i="5"/>
  <c r="A5873" i="5"/>
  <c r="B5872" i="5"/>
  <c r="A5872" i="5"/>
  <c r="B5871" i="5"/>
  <c r="A5871" i="5"/>
  <c r="B5870" i="5"/>
  <c r="A5870" i="5"/>
  <c r="B5869" i="5"/>
  <c r="A5869" i="5"/>
  <c r="B5868" i="5"/>
  <c r="A5868" i="5"/>
  <c r="B5867" i="5"/>
  <c r="A5867" i="5"/>
  <c r="B5866" i="5"/>
  <c r="A5866" i="5"/>
  <c r="B5865" i="5"/>
  <c r="A5865" i="5"/>
  <c r="B5864" i="5"/>
  <c r="A5864" i="5"/>
  <c r="B5863" i="5"/>
  <c r="A5863" i="5"/>
  <c r="B5862" i="5"/>
  <c r="A5862" i="5"/>
  <c r="B5861" i="5"/>
  <c r="A5861" i="5"/>
  <c r="B5860" i="5"/>
  <c r="A5860" i="5"/>
  <c r="B5859" i="5"/>
  <c r="A5859" i="5"/>
  <c r="B5858" i="5"/>
  <c r="A5858" i="5"/>
  <c r="B5857" i="5"/>
  <c r="A5857" i="5"/>
  <c r="B5856" i="5"/>
  <c r="A5856" i="5"/>
  <c r="B5855" i="5"/>
  <c r="A5855" i="5"/>
  <c r="B5854" i="5"/>
  <c r="A5854" i="5"/>
  <c r="B5853" i="5"/>
  <c r="A5853" i="5"/>
  <c r="B5852" i="5"/>
  <c r="A5852" i="5"/>
  <c r="B5851" i="5"/>
  <c r="A5851" i="5"/>
  <c r="B5850" i="5"/>
  <c r="A5850" i="5"/>
  <c r="B5849" i="5"/>
  <c r="A5849" i="5"/>
  <c r="B5848" i="5"/>
  <c r="A5848" i="5"/>
  <c r="B5847" i="5"/>
  <c r="A5847" i="5"/>
  <c r="B5846" i="5"/>
  <c r="A5846" i="5"/>
  <c r="B5845" i="5"/>
  <c r="A5845" i="5"/>
  <c r="B5844" i="5"/>
  <c r="A5844" i="5"/>
  <c r="B5843" i="5"/>
  <c r="A5843" i="5"/>
  <c r="B5842" i="5"/>
  <c r="A5842" i="5"/>
  <c r="B5841" i="5"/>
  <c r="A5841" i="5"/>
  <c r="B5840" i="5"/>
  <c r="A5840" i="5"/>
  <c r="B5839" i="5"/>
  <c r="A5839" i="5"/>
  <c r="B5838" i="5"/>
  <c r="A5838" i="5"/>
  <c r="B5837" i="5"/>
  <c r="A5837" i="5"/>
  <c r="B5836" i="5"/>
  <c r="A5836" i="5"/>
  <c r="B5835" i="5"/>
  <c r="A5835" i="5"/>
  <c r="B5834" i="5"/>
  <c r="A5834" i="5"/>
  <c r="B5833" i="5"/>
  <c r="A5833" i="5"/>
  <c r="B5832" i="5"/>
  <c r="A5832" i="5"/>
  <c r="B5831" i="5"/>
  <c r="A5831" i="5"/>
  <c r="B5830" i="5"/>
  <c r="A5830" i="5"/>
  <c r="B5829" i="5"/>
  <c r="A5829" i="5"/>
  <c r="B5828" i="5"/>
  <c r="A5828" i="5"/>
  <c r="B5827" i="5"/>
  <c r="A5827" i="5"/>
  <c r="B5826" i="5"/>
  <c r="A5826" i="5"/>
  <c r="B5825" i="5"/>
  <c r="A5825" i="5"/>
  <c r="B5824" i="5"/>
  <c r="A5824" i="5"/>
  <c r="B5823" i="5"/>
  <c r="A5823" i="5"/>
  <c r="B5822" i="5"/>
  <c r="A5822" i="5"/>
  <c r="B5821" i="5"/>
  <c r="A5821" i="5"/>
  <c r="B5820" i="5"/>
  <c r="A5820" i="5"/>
  <c r="B5819" i="5"/>
  <c r="A5819" i="5"/>
  <c r="B5818" i="5"/>
  <c r="A5818" i="5"/>
  <c r="B5817" i="5"/>
  <c r="A5817" i="5"/>
  <c r="B5816" i="5"/>
  <c r="A5816" i="5"/>
  <c r="B5815" i="5"/>
  <c r="A5815" i="5"/>
  <c r="B5814" i="5"/>
  <c r="A5814" i="5"/>
  <c r="B5813" i="5"/>
  <c r="A5813" i="5"/>
  <c r="B5812" i="5"/>
  <c r="A5812" i="5"/>
  <c r="B5811" i="5"/>
  <c r="A5811" i="5"/>
  <c r="B5810" i="5"/>
  <c r="A5810" i="5"/>
  <c r="B5809" i="5"/>
  <c r="A5809" i="5"/>
  <c r="B5808" i="5"/>
  <c r="A5808" i="5"/>
  <c r="B5807" i="5"/>
  <c r="A5807" i="5"/>
  <c r="B5806" i="5"/>
  <c r="A5806" i="5"/>
  <c r="B5805" i="5"/>
  <c r="A5805" i="5"/>
  <c r="B5804" i="5"/>
  <c r="A5804" i="5"/>
  <c r="B5803" i="5"/>
  <c r="A5803" i="5"/>
  <c r="B5802" i="5"/>
  <c r="A5802" i="5"/>
  <c r="B5801" i="5"/>
  <c r="A5801" i="5"/>
  <c r="B5800" i="5"/>
  <c r="A5800" i="5"/>
  <c r="B5799" i="5"/>
  <c r="A5799" i="5"/>
  <c r="B5798" i="5"/>
  <c r="A5798" i="5"/>
  <c r="B5797" i="5"/>
  <c r="A5797" i="5"/>
  <c r="B5796" i="5"/>
  <c r="A5796" i="5"/>
  <c r="B5795" i="5"/>
  <c r="A5795" i="5"/>
  <c r="B5794" i="5"/>
  <c r="A5794" i="5"/>
  <c r="B5793" i="5"/>
  <c r="A5793" i="5"/>
  <c r="B5792" i="5"/>
  <c r="A5792" i="5"/>
  <c r="B5791" i="5"/>
  <c r="A5791" i="5"/>
  <c r="B5790" i="5"/>
  <c r="A5790" i="5"/>
  <c r="B5789" i="5"/>
  <c r="A5789" i="5"/>
  <c r="B5788" i="5"/>
  <c r="A5788" i="5"/>
  <c r="B5787" i="5"/>
  <c r="A5787" i="5"/>
  <c r="B5786" i="5"/>
  <c r="A5786" i="5"/>
  <c r="B5785" i="5"/>
  <c r="A5785" i="5"/>
  <c r="B5784" i="5"/>
  <c r="A5784" i="5"/>
  <c r="B5783" i="5"/>
  <c r="A5783" i="5"/>
  <c r="B5782" i="5"/>
  <c r="A5782" i="5"/>
  <c r="B5781" i="5"/>
  <c r="A5781" i="5"/>
  <c r="B5780" i="5"/>
  <c r="A5780" i="5"/>
  <c r="B5779" i="5"/>
  <c r="A5779" i="5"/>
  <c r="B5778" i="5"/>
  <c r="A5778" i="5"/>
  <c r="B5777" i="5"/>
  <c r="A5777" i="5"/>
  <c r="B5776" i="5"/>
  <c r="A5776" i="5"/>
  <c r="B5775" i="5"/>
  <c r="A5775" i="5"/>
  <c r="B5774" i="5"/>
  <c r="A5774" i="5"/>
  <c r="B5773" i="5"/>
  <c r="A5773" i="5"/>
  <c r="B5772" i="5"/>
  <c r="A5772" i="5"/>
  <c r="B5771" i="5"/>
  <c r="A5771" i="5"/>
  <c r="B5770" i="5"/>
  <c r="A5770" i="5"/>
  <c r="B5769" i="5"/>
  <c r="A5769" i="5"/>
  <c r="B5768" i="5"/>
  <c r="A5768" i="5"/>
  <c r="B5767" i="5"/>
  <c r="A5767" i="5"/>
  <c r="B5766" i="5"/>
  <c r="A5766" i="5"/>
  <c r="B5765" i="5"/>
  <c r="A5765" i="5"/>
  <c r="B5764" i="5"/>
  <c r="A5764" i="5"/>
  <c r="B5763" i="5"/>
  <c r="A5763" i="5"/>
  <c r="B5762" i="5"/>
  <c r="A5762" i="5"/>
  <c r="B5761" i="5"/>
  <c r="A5761" i="5"/>
  <c r="B5760" i="5"/>
  <c r="A5760" i="5"/>
  <c r="B5759" i="5"/>
  <c r="A5759" i="5"/>
  <c r="B5758" i="5"/>
  <c r="A5758" i="5"/>
  <c r="B5757" i="5"/>
  <c r="A5757" i="5"/>
  <c r="B5756" i="5"/>
  <c r="A5756" i="5"/>
  <c r="B5755" i="5"/>
  <c r="A5755" i="5"/>
  <c r="B5754" i="5"/>
  <c r="A5754" i="5"/>
  <c r="B5753" i="5"/>
  <c r="A5753" i="5"/>
  <c r="B5752" i="5"/>
  <c r="A5752" i="5"/>
  <c r="B5751" i="5"/>
  <c r="A5751" i="5"/>
  <c r="B5750" i="5"/>
  <c r="A5750" i="5"/>
  <c r="B5749" i="5"/>
  <c r="A5749" i="5"/>
  <c r="B5748" i="5"/>
  <c r="A5748" i="5"/>
  <c r="B5747" i="5"/>
  <c r="A5747" i="5"/>
  <c r="B5746" i="5"/>
  <c r="A5746" i="5"/>
  <c r="B5745" i="5"/>
  <c r="A5745" i="5"/>
  <c r="B5744" i="5"/>
  <c r="A5744" i="5"/>
  <c r="B5743" i="5"/>
  <c r="A5743" i="5"/>
  <c r="B5742" i="5"/>
  <c r="A5742" i="5"/>
  <c r="B5741" i="5"/>
  <c r="A5741" i="5"/>
  <c r="B5740" i="5"/>
  <c r="A5740" i="5"/>
  <c r="B5739" i="5"/>
  <c r="A5739" i="5"/>
  <c r="B5738" i="5"/>
  <c r="A5738" i="5"/>
  <c r="B5737" i="5"/>
  <c r="A5737" i="5"/>
  <c r="B5736" i="5"/>
  <c r="A5736" i="5"/>
  <c r="B5735" i="5"/>
  <c r="A5735" i="5"/>
  <c r="B5734" i="5"/>
  <c r="A5734" i="5"/>
  <c r="B5733" i="5"/>
  <c r="A5733" i="5"/>
  <c r="B5732" i="5"/>
  <c r="A5732" i="5"/>
  <c r="B5731" i="5"/>
  <c r="A5731" i="5"/>
  <c r="B5730" i="5"/>
  <c r="A5730" i="5"/>
  <c r="B5729" i="5"/>
  <c r="A5729" i="5"/>
  <c r="B5728" i="5"/>
  <c r="A5728" i="5"/>
  <c r="B5727" i="5"/>
  <c r="A5727" i="5"/>
  <c r="B5726" i="5"/>
  <c r="A5726" i="5"/>
  <c r="B5725" i="5"/>
  <c r="A5725" i="5"/>
  <c r="B5724" i="5"/>
  <c r="A5724" i="5"/>
  <c r="B5723" i="5"/>
  <c r="A5723" i="5"/>
  <c r="B5722" i="5"/>
  <c r="A5722" i="5"/>
  <c r="B5721" i="5"/>
  <c r="A5721" i="5"/>
  <c r="B5720" i="5"/>
  <c r="A5720" i="5"/>
  <c r="B5719" i="5"/>
  <c r="A5719" i="5"/>
  <c r="B5718" i="5"/>
  <c r="A5718" i="5"/>
  <c r="B5717" i="5"/>
  <c r="A5717" i="5"/>
  <c r="B5716" i="5"/>
  <c r="A5716" i="5"/>
  <c r="B5715" i="5"/>
  <c r="A5715" i="5"/>
  <c r="B5714" i="5"/>
  <c r="A5714" i="5"/>
  <c r="B5713" i="5"/>
  <c r="A5713" i="5"/>
  <c r="B5712" i="5"/>
  <c r="A5712" i="5"/>
  <c r="B5711" i="5"/>
  <c r="A5711" i="5"/>
  <c r="B5710" i="5"/>
  <c r="A5710" i="5"/>
  <c r="B5709" i="5"/>
  <c r="A5709" i="5"/>
  <c r="B5708" i="5"/>
  <c r="A5708" i="5"/>
  <c r="B5707" i="5"/>
  <c r="A5707" i="5"/>
  <c r="B5706" i="5"/>
  <c r="A5706" i="5"/>
  <c r="B5705" i="5"/>
  <c r="A5705" i="5"/>
  <c r="B5704" i="5"/>
  <c r="A5704" i="5"/>
  <c r="B5703" i="5"/>
  <c r="A5703" i="5"/>
  <c r="B5702" i="5"/>
  <c r="A5702" i="5"/>
  <c r="B5701" i="5"/>
  <c r="A5701" i="5"/>
  <c r="B5700" i="5"/>
  <c r="A5700" i="5"/>
  <c r="B5699" i="5"/>
  <c r="A5699" i="5"/>
  <c r="B5698" i="5"/>
  <c r="A5698" i="5"/>
  <c r="B5697" i="5"/>
  <c r="A5697" i="5"/>
  <c r="B5696" i="5"/>
  <c r="A5696" i="5"/>
  <c r="B5695" i="5"/>
  <c r="A5695" i="5"/>
  <c r="B5694" i="5"/>
  <c r="A5694" i="5"/>
  <c r="B5693" i="5"/>
  <c r="A5693" i="5"/>
  <c r="B5692" i="5"/>
  <c r="A5692" i="5"/>
  <c r="B5691" i="5"/>
  <c r="A5691" i="5"/>
  <c r="B5690" i="5"/>
  <c r="A5690" i="5"/>
  <c r="B5689" i="5"/>
  <c r="A5689" i="5"/>
  <c r="B5688" i="5"/>
  <c r="A5688" i="5"/>
  <c r="B5687" i="5"/>
  <c r="A5687" i="5"/>
  <c r="B5686" i="5"/>
  <c r="A5686" i="5"/>
  <c r="B5685" i="5"/>
  <c r="A5685" i="5"/>
  <c r="B5684" i="5"/>
  <c r="A5684" i="5"/>
  <c r="B5683" i="5"/>
  <c r="A5683" i="5"/>
  <c r="B5682" i="5"/>
  <c r="A5682" i="5"/>
  <c r="B5681" i="5"/>
  <c r="A5681" i="5"/>
  <c r="B5680" i="5"/>
  <c r="A5680" i="5"/>
  <c r="B5679" i="5"/>
  <c r="A5679" i="5"/>
  <c r="B5678" i="5"/>
  <c r="A5678" i="5"/>
  <c r="B5677" i="5"/>
  <c r="A5677" i="5"/>
  <c r="B5676" i="5"/>
  <c r="A5676" i="5"/>
  <c r="B5675" i="5"/>
  <c r="A5675" i="5"/>
  <c r="B5674" i="5"/>
  <c r="A5674" i="5"/>
  <c r="B5673" i="5"/>
  <c r="A5673" i="5"/>
  <c r="B5672" i="5"/>
  <c r="A5672" i="5"/>
  <c r="B5671" i="5"/>
  <c r="A5671" i="5"/>
  <c r="B5670" i="5"/>
  <c r="A5670" i="5"/>
  <c r="B5669" i="5"/>
  <c r="A5669" i="5"/>
  <c r="B5668" i="5"/>
  <c r="A5668" i="5"/>
  <c r="B5667" i="5"/>
  <c r="A5667" i="5"/>
  <c r="B5666" i="5"/>
  <c r="A5666" i="5"/>
  <c r="B5665" i="5"/>
  <c r="A5665" i="5"/>
  <c r="B5664" i="5"/>
  <c r="A5664" i="5"/>
  <c r="B5663" i="5"/>
  <c r="A5663" i="5"/>
  <c r="B5662" i="5"/>
  <c r="A5662" i="5"/>
  <c r="B5661" i="5"/>
  <c r="A5661" i="5"/>
  <c r="B5660" i="5"/>
  <c r="A5660" i="5"/>
  <c r="B5659" i="5"/>
  <c r="A5659" i="5"/>
  <c r="B5658" i="5"/>
  <c r="A5658" i="5"/>
  <c r="B5657" i="5"/>
  <c r="A5657" i="5"/>
  <c r="B5656" i="5"/>
  <c r="A5656" i="5"/>
  <c r="B5655" i="5"/>
  <c r="A5655" i="5"/>
  <c r="B5654" i="5"/>
  <c r="A5654" i="5"/>
  <c r="B5653" i="5"/>
  <c r="A5653" i="5"/>
  <c r="B5652" i="5"/>
  <c r="A5652" i="5"/>
  <c r="B5651" i="5"/>
  <c r="A5651" i="5"/>
  <c r="B5650" i="5"/>
  <c r="A5650" i="5"/>
  <c r="B5649" i="5"/>
  <c r="A5649" i="5"/>
  <c r="B5648" i="5"/>
  <c r="A5648" i="5"/>
  <c r="B5647" i="5"/>
  <c r="A5647" i="5"/>
  <c r="B5646" i="5"/>
  <c r="A5646" i="5"/>
  <c r="B5645" i="5"/>
  <c r="A5645" i="5"/>
  <c r="B5644" i="5"/>
  <c r="A5644" i="5"/>
  <c r="B5643" i="5"/>
  <c r="A5643" i="5"/>
  <c r="B5642" i="5"/>
  <c r="A5642" i="5"/>
  <c r="B5641" i="5"/>
  <c r="A5641" i="5"/>
  <c r="B5640" i="5"/>
  <c r="A5640" i="5"/>
  <c r="B5639" i="5"/>
  <c r="A5639" i="5"/>
  <c r="B5638" i="5"/>
  <c r="A5638" i="5"/>
  <c r="B5637" i="5"/>
  <c r="A5637" i="5"/>
  <c r="B5636" i="5"/>
  <c r="A5636" i="5"/>
  <c r="B5635" i="5"/>
  <c r="A5635" i="5"/>
  <c r="B5634" i="5"/>
  <c r="A5634" i="5"/>
  <c r="B5633" i="5"/>
  <c r="A5633" i="5"/>
  <c r="B5632" i="5"/>
  <c r="A5632" i="5"/>
  <c r="B5631" i="5"/>
  <c r="A5631" i="5"/>
  <c r="B5630" i="5"/>
  <c r="A5630" i="5"/>
  <c r="B5629" i="5"/>
  <c r="A5629" i="5"/>
  <c r="B5628" i="5"/>
  <c r="A5628" i="5"/>
  <c r="B5627" i="5"/>
  <c r="A5627" i="5"/>
  <c r="B5626" i="5"/>
  <c r="A5626" i="5"/>
  <c r="B5625" i="5"/>
  <c r="A5625" i="5"/>
  <c r="B5624" i="5"/>
  <c r="A5624" i="5"/>
  <c r="B5623" i="5"/>
  <c r="A5623" i="5"/>
  <c r="B5622" i="5"/>
  <c r="A5622" i="5"/>
  <c r="B5621" i="5"/>
  <c r="A5621" i="5"/>
  <c r="B5620" i="5"/>
  <c r="A5620" i="5"/>
  <c r="B5619" i="5"/>
  <c r="A5619" i="5"/>
  <c r="B5618" i="5"/>
  <c r="A5618" i="5"/>
  <c r="B5617" i="5"/>
  <c r="A5617" i="5"/>
  <c r="B5616" i="5"/>
  <c r="A5616" i="5"/>
  <c r="B5615" i="5"/>
  <c r="A5615" i="5"/>
  <c r="B5614" i="5"/>
  <c r="A5614" i="5"/>
  <c r="B5613" i="5"/>
  <c r="A5613" i="5"/>
  <c r="B5612" i="5"/>
  <c r="A5612" i="5"/>
  <c r="B5611" i="5"/>
  <c r="A5611" i="5"/>
  <c r="B5610" i="5"/>
  <c r="A5610" i="5"/>
  <c r="B5609" i="5"/>
  <c r="A5609" i="5"/>
  <c r="B5608" i="5"/>
  <c r="A5608" i="5"/>
  <c r="B5607" i="5"/>
  <c r="A5607" i="5"/>
  <c r="B5606" i="5"/>
  <c r="A5606" i="5"/>
  <c r="B5605" i="5"/>
  <c r="A5605" i="5"/>
  <c r="B5604" i="5"/>
  <c r="A5604" i="5"/>
  <c r="B5603" i="5"/>
  <c r="A5603" i="5"/>
  <c r="B5602" i="5"/>
  <c r="A5602" i="5"/>
  <c r="B5601" i="5"/>
  <c r="A5601" i="5"/>
  <c r="B5600" i="5"/>
  <c r="A5600" i="5"/>
  <c r="B5599" i="5"/>
  <c r="A5599" i="5"/>
  <c r="B5598" i="5"/>
  <c r="A5598" i="5"/>
  <c r="B5597" i="5"/>
  <c r="A5597" i="5"/>
  <c r="B5596" i="5"/>
  <c r="A5596" i="5"/>
  <c r="B5595" i="5"/>
  <c r="A5595" i="5"/>
  <c r="B5594" i="5"/>
  <c r="A5594" i="5"/>
  <c r="B5593" i="5"/>
  <c r="A5593" i="5"/>
  <c r="B5592" i="5"/>
  <c r="A5592" i="5"/>
  <c r="B5591" i="5"/>
  <c r="A5591" i="5"/>
  <c r="B5590" i="5"/>
  <c r="A5590" i="5"/>
  <c r="B5589" i="5"/>
  <c r="A5589" i="5"/>
  <c r="B5588" i="5"/>
  <c r="A5588" i="5"/>
  <c r="B5587" i="5"/>
  <c r="A5587" i="5"/>
  <c r="B5586" i="5"/>
  <c r="A5586" i="5"/>
  <c r="B5585" i="5"/>
  <c r="A5585" i="5"/>
  <c r="B5584" i="5"/>
  <c r="A5584" i="5"/>
  <c r="B5583" i="5"/>
  <c r="A5583" i="5"/>
  <c r="B5582" i="5"/>
  <c r="A5582" i="5"/>
  <c r="B5581" i="5"/>
  <c r="A5581" i="5"/>
  <c r="B5580" i="5"/>
  <c r="A5580" i="5"/>
  <c r="B5579" i="5"/>
  <c r="A5579" i="5"/>
  <c r="B5578" i="5"/>
  <c r="A5578" i="5"/>
  <c r="B5577" i="5"/>
  <c r="A5577" i="5"/>
  <c r="B5576" i="5"/>
  <c r="A5576" i="5"/>
  <c r="B5575" i="5"/>
  <c r="A5575" i="5"/>
  <c r="B5574" i="5"/>
  <c r="A5574" i="5"/>
  <c r="B5573" i="5"/>
  <c r="A5573" i="5"/>
  <c r="B5572" i="5"/>
  <c r="A5572" i="5"/>
  <c r="B5571" i="5"/>
  <c r="A5571" i="5"/>
  <c r="B5570" i="5"/>
  <c r="A5570" i="5"/>
  <c r="B5569" i="5"/>
  <c r="A5569" i="5"/>
  <c r="B5568" i="5"/>
  <c r="A5568" i="5"/>
  <c r="B5567" i="5"/>
  <c r="A5567" i="5"/>
  <c r="B5566" i="5"/>
  <c r="A5566" i="5"/>
  <c r="B5565" i="5"/>
  <c r="A5565" i="5"/>
  <c r="B5564" i="5"/>
  <c r="A5564" i="5"/>
  <c r="B5563" i="5"/>
  <c r="A5563" i="5"/>
  <c r="B5562" i="5"/>
  <c r="A5562" i="5"/>
  <c r="B5561" i="5"/>
  <c r="A5561" i="5"/>
  <c r="B5560" i="5"/>
  <c r="A5560" i="5"/>
  <c r="B5559" i="5"/>
  <c r="A5559" i="5"/>
  <c r="B5558" i="5"/>
  <c r="A5558" i="5"/>
  <c r="B5557" i="5"/>
  <c r="A5557" i="5"/>
  <c r="B5556" i="5"/>
  <c r="A5556" i="5"/>
  <c r="B5555" i="5"/>
  <c r="A5555" i="5"/>
  <c r="B5554" i="5"/>
  <c r="A5554" i="5"/>
  <c r="B5553" i="5"/>
  <c r="A5553" i="5"/>
  <c r="B5552" i="5"/>
  <c r="A5552" i="5"/>
  <c r="B5551" i="5"/>
  <c r="A5551" i="5"/>
  <c r="B5550" i="5"/>
  <c r="A5550" i="5"/>
  <c r="B5549" i="5"/>
  <c r="A5549" i="5"/>
  <c r="B5548" i="5"/>
  <c r="A5548" i="5"/>
  <c r="B5547" i="5"/>
  <c r="A5547" i="5"/>
  <c r="B5546" i="5"/>
  <c r="A5546" i="5"/>
  <c r="B5545" i="5"/>
  <c r="A5545" i="5"/>
  <c r="B5544" i="5"/>
  <c r="A5544" i="5"/>
  <c r="B5543" i="5"/>
  <c r="A5543" i="5"/>
  <c r="B5542" i="5"/>
  <c r="A5542" i="5"/>
  <c r="B5541" i="5"/>
  <c r="A5541" i="5"/>
  <c r="B5540" i="5"/>
  <c r="A5540" i="5"/>
  <c r="B5539" i="5"/>
  <c r="A5539" i="5"/>
  <c r="B5538" i="5"/>
  <c r="A5538" i="5"/>
  <c r="B5537" i="5"/>
  <c r="A5537" i="5"/>
  <c r="B5536" i="5"/>
  <c r="A5536" i="5"/>
  <c r="B5535" i="5"/>
  <c r="A5535" i="5"/>
  <c r="B5534" i="5"/>
  <c r="A5534" i="5"/>
  <c r="B5533" i="5"/>
  <c r="A5533" i="5"/>
  <c r="B5532" i="5"/>
  <c r="A5532" i="5"/>
  <c r="B5531" i="5"/>
  <c r="A5531" i="5"/>
  <c r="B5530" i="5"/>
  <c r="A5530" i="5"/>
  <c r="B5529" i="5"/>
  <c r="A5529" i="5"/>
  <c r="B5528" i="5"/>
  <c r="A5528" i="5"/>
  <c r="B5527" i="5"/>
  <c r="A5527" i="5"/>
  <c r="B5526" i="5"/>
  <c r="A5526" i="5"/>
  <c r="B5525" i="5"/>
  <c r="A5525" i="5"/>
  <c r="B5524" i="5"/>
  <c r="A5524" i="5"/>
  <c r="B5523" i="5"/>
  <c r="A5523" i="5"/>
  <c r="B5522" i="5"/>
  <c r="A5522" i="5"/>
  <c r="B5521" i="5"/>
  <c r="A5521" i="5"/>
  <c r="B5520" i="5"/>
  <c r="A5520" i="5"/>
  <c r="B5519" i="5"/>
  <c r="A5519" i="5"/>
  <c r="B5518" i="5"/>
  <c r="A5518" i="5"/>
  <c r="B5517" i="5"/>
  <c r="A5517" i="5"/>
  <c r="B5516" i="5"/>
  <c r="A5516" i="5"/>
  <c r="B5515" i="5"/>
  <c r="A5515" i="5"/>
  <c r="B5514" i="5"/>
  <c r="A5514" i="5"/>
  <c r="B5513" i="5"/>
  <c r="A5513" i="5"/>
  <c r="B5512" i="5"/>
  <c r="A5512" i="5"/>
  <c r="B5511" i="5"/>
  <c r="A5511" i="5"/>
  <c r="B5510" i="5"/>
  <c r="A5510" i="5"/>
  <c r="B5509" i="5"/>
  <c r="A5509" i="5"/>
  <c r="B5508" i="5"/>
  <c r="A5508" i="5"/>
  <c r="B5507" i="5"/>
  <c r="A5507" i="5"/>
  <c r="B5506" i="5"/>
  <c r="A5506" i="5"/>
  <c r="B5505" i="5"/>
  <c r="A5505" i="5"/>
  <c r="B5504" i="5"/>
  <c r="A5504" i="5"/>
  <c r="B5503" i="5"/>
  <c r="A5503" i="5"/>
  <c r="B5502" i="5"/>
  <c r="A5502" i="5"/>
  <c r="B5501" i="5"/>
  <c r="A5501" i="5"/>
  <c r="B5500" i="5"/>
  <c r="A5500" i="5"/>
  <c r="B5499" i="5"/>
  <c r="A5499" i="5"/>
  <c r="B5498" i="5"/>
  <c r="A5498" i="5"/>
  <c r="B5497" i="5"/>
  <c r="A5497" i="5"/>
  <c r="B5496" i="5"/>
  <c r="A5496" i="5"/>
  <c r="B5495" i="5"/>
  <c r="A5495" i="5"/>
  <c r="B5494" i="5"/>
  <c r="A5494" i="5"/>
  <c r="B5493" i="5"/>
  <c r="A5493" i="5"/>
  <c r="B5492" i="5"/>
  <c r="A5492" i="5"/>
  <c r="B5491" i="5"/>
  <c r="A5491" i="5"/>
  <c r="B5490" i="5"/>
  <c r="A5490" i="5"/>
  <c r="B5489" i="5"/>
  <c r="A5489" i="5"/>
  <c r="B5488" i="5"/>
  <c r="A5488" i="5"/>
  <c r="B5487" i="5"/>
  <c r="A5487" i="5"/>
  <c r="B5486" i="5"/>
  <c r="A5486" i="5"/>
  <c r="B5485" i="5"/>
  <c r="A5485" i="5"/>
  <c r="B5484" i="5"/>
  <c r="A5484" i="5"/>
  <c r="B5483" i="5"/>
  <c r="A5483" i="5"/>
  <c r="B5482" i="5"/>
  <c r="A5482" i="5"/>
  <c r="B5481" i="5"/>
  <c r="A5481" i="5"/>
  <c r="B5480" i="5"/>
  <c r="A5480" i="5"/>
  <c r="B5479" i="5"/>
  <c r="A5479" i="5"/>
  <c r="B5478" i="5"/>
  <c r="A5478" i="5"/>
  <c r="B5477" i="5"/>
  <c r="A5477" i="5"/>
  <c r="B5476" i="5"/>
  <c r="A5476" i="5"/>
  <c r="B5475" i="5"/>
  <c r="A5475" i="5"/>
  <c r="B5474" i="5"/>
  <c r="A5474" i="5"/>
  <c r="B5473" i="5"/>
  <c r="A5473" i="5"/>
  <c r="B5472" i="5"/>
  <c r="A5472" i="5"/>
  <c r="B5471" i="5"/>
  <c r="A5471" i="5"/>
  <c r="B5470" i="5"/>
  <c r="A5470" i="5"/>
  <c r="B5469" i="5"/>
  <c r="A5469" i="5"/>
  <c r="B5468" i="5"/>
  <c r="A5468" i="5"/>
  <c r="B5467" i="5"/>
  <c r="A5467" i="5"/>
  <c r="B5466" i="5"/>
  <c r="A5466" i="5"/>
  <c r="B5465" i="5"/>
  <c r="A5465" i="5"/>
  <c r="B5464" i="5"/>
  <c r="A5464" i="5"/>
  <c r="B5463" i="5"/>
  <c r="A5463" i="5"/>
  <c r="B5462" i="5"/>
  <c r="A5462" i="5"/>
  <c r="B5461" i="5"/>
  <c r="A5461" i="5"/>
  <c r="B5460" i="5"/>
  <c r="A5460" i="5"/>
  <c r="B5459" i="5"/>
  <c r="A5459" i="5"/>
  <c r="B5458" i="5"/>
  <c r="A5458" i="5"/>
  <c r="B5457" i="5"/>
  <c r="A5457" i="5"/>
  <c r="B5456" i="5"/>
  <c r="A5456" i="5"/>
  <c r="B5455" i="5"/>
  <c r="A5455" i="5"/>
  <c r="B5454" i="5"/>
  <c r="A5454" i="5"/>
  <c r="B5453" i="5"/>
  <c r="A5453" i="5"/>
  <c r="B5452" i="5"/>
  <c r="A5452" i="5"/>
  <c r="B5451" i="5"/>
  <c r="A5451" i="5"/>
  <c r="B5450" i="5"/>
  <c r="A5450" i="5"/>
  <c r="B5449" i="5"/>
  <c r="A5449" i="5"/>
  <c r="B5448" i="5"/>
  <c r="A5448" i="5"/>
  <c r="B5447" i="5"/>
  <c r="A5447" i="5"/>
  <c r="B5446" i="5"/>
  <c r="A5446" i="5"/>
  <c r="B5445" i="5"/>
  <c r="A5445" i="5"/>
  <c r="B5444" i="5"/>
  <c r="A5444" i="5"/>
  <c r="B5443" i="5"/>
  <c r="A5443" i="5"/>
  <c r="B5442" i="5"/>
  <c r="A5442" i="5"/>
  <c r="B5441" i="5"/>
  <c r="A5441" i="5"/>
  <c r="B5440" i="5"/>
  <c r="A5440" i="5"/>
  <c r="B5439" i="5"/>
  <c r="A5439" i="5"/>
  <c r="B5438" i="5"/>
  <c r="A5438" i="5"/>
  <c r="B5437" i="5"/>
  <c r="A5437" i="5"/>
  <c r="B5436" i="5"/>
  <c r="A5436" i="5"/>
  <c r="B5435" i="5"/>
  <c r="A5435" i="5"/>
  <c r="B5434" i="5"/>
  <c r="A5434" i="5"/>
  <c r="B5433" i="5"/>
  <c r="A5433" i="5"/>
  <c r="B5432" i="5"/>
  <c r="A5432" i="5"/>
  <c r="B5431" i="5"/>
  <c r="A5431" i="5"/>
  <c r="B5430" i="5"/>
  <c r="A5430" i="5"/>
  <c r="B5429" i="5"/>
  <c r="A5429" i="5"/>
  <c r="B5428" i="5"/>
  <c r="A5428" i="5"/>
  <c r="B5427" i="5"/>
  <c r="A5427" i="5"/>
  <c r="B5426" i="5"/>
  <c r="A5426" i="5"/>
  <c r="B5425" i="5"/>
  <c r="A5425" i="5"/>
  <c r="B5424" i="5"/>
  <c r="A5424" i="5"/>
  <c r="B5423" i="5"/>
  <c r="A5423" i="5"/>
  <c r="B5422" i="5"/>
  <c r="A5422" i="5"/>
  <c r="B5421" i="5"/>
  <c r="A5421" i="5"/>
  <c r="B5420" i="5"/>
  <c r="A5420" i="5"/>
  <c r="B5419" i="5"/>
  <c r="A5419" i="5"/>
  <c r="B5418" i="5"/>
  <c r="A5418" i="5"/>
  <c r="B5417" i="5"/>
  <c r="A5417" i="5"/>
  <c r="B5416" i="5"/>
  <c r="A5416" i="5"/>
  <c r="B5415" i="5"/>
  <c r="A5415" i="5"/>
  <c r="B5414" i="5"/>
  <c r="A5414" i="5"/>
  <c r="B5413" i="5"/>
  <c r="A5413" i="5"/>
  <c r="B5412" i="5"/>
  <c r="A5412" i="5"/>
  <c r="B5411" i="5"/>
  <c r="A5411" i="5"/>
  <c r="B5410" i="5"/>
  <c r="A5410" i="5"/>
  <c r="B5409" i="5"/>
  <c r="A5409" i="5"/>
  <c r="B5408" i="5"/>
  <c r="A5408" i="5"/>
  <c r="B5407" i="5"/>
  <c r="A5407" i="5"/>
  <c r="B5406" i="5"/>
  <c r="A5406" i="5"/>
  <c r="B5405" i="5"/>
  <c r="A5405" i="5"/>
  <c r="B5404" i="5"/>
  <c r="A5404" i="5"/>
  <c r="B5403" i="5"/>
  <c r="A5403" i="5"/>
  <c r="B5402" i="5"/>
  <c r="A5402" i="5"/>
  <c r="B5401" i="5"/>
  <c r="A5401" i="5"/>
  <c r="B5400" i="5"/>
  <c r="A5400" i="5"/>
  <c r="B5399" i="5"/>
  <c r="A5399" i="5"/>
  <c r="B5398" i="5"/>
  <c r="A5398" i="5"/>
  <c r="B5397" i="5"/>
  <c r="A5397" i="5"/>
  <c r="B5396" i="5"/>
  <c r="A5396" i="5"/>
  <c r="B5395" i="5"/>
  <c r="A5395" i="5"/>
  <c r="B5394" i="5"/>
  <c r="A5394" i="5"/>
  <c r="B5393" i="5"/>
  <c r="A5393" i="5"/>
  <c r="B5392" i="5"/>
  <c r="A5392" i="5"/>
  <c r="B5391" i="5"/>
  <c r="A5391" i="5"/>
  <c r="B5390" i="5"/>
  <c r="A5390" i="5"/>
  <c r="B5389" i="5"/>
  <c r="A5389" i="5"/>
  <c r="B5388" i="5"/>
  <c r="A5388" i="5"/>
  <c r="B5387" i="5"/>
  <c r="A5387" i="5"/>
  <c r="B5386" i="5"/>
  <c r="A5386" i="5"/>
  <c r="B5385" i="5"/>
  <c r="A5385" i="5"/>
  <c r="B5384" i="5"/>
  <c r="A5384" i="5"/>
  <c r="B5383" i="5"/>
  <c r="A5383" i="5"/>
  <c r="B5382" i="5"/>
  <c r="A5382" i="5"/>
  <c r="B5381" i="5"/>
  <c r="A5381" i="5"/>
  <c r="B5380" i="5"/>
  <c r="A5380" i="5"/>
  <c r="B5379" i="5"/>
  <c r="A5379" i="5"/>
  <c r="B5378" i="5"/>
  <c r="A5378" i="5"/>
  <c r="B5377" i="5"/>
  <c r="A5377" i="5"/>
  <c r="B5376" i="5"/>
  <c r="A5376" i="5"/>
  <c r="B5375" i="5"/>
  <c r="A5375" i="5"/>
  <c r="B5374" i="5"/>
  <c r="A5374" i="5"/>
  <c r="B5373" i="5"/>
  <c r="A5373" i="5"/>
  <c r="B5372" i="5"/>
  <c r="A5372" i="5"/>
  <c r="B5371" i="5"/>
  <c r="A5371" i="5"/>
  <c r="B5370" i="5"/>
  <c r="A5370" i="5"/>
  <c r="B5369" i="5"/>
  <c r="A5369" i="5"/>
  <c r="B5368" i="5"/>
  <c r="A5368" i="5"/>
  <c r="B5367" i="5"/>
  <c r="A5367" i="5"/>
  <c r="B5366" i="5"/>
  <c r="A5366" i="5"/>
  <c r="B5365" i="5"/>
  <c r="A5365" i="5"/>
  <c r="B5364" i="5"/>
  <c r="A5364" i="5"/>
  <c r="B5363" i="5"/>
  <c r="A5363" i="5"/>
  <c r="B5362" i="5"/>
  <c r="A5362" i="5"/>
  <c r="B5361" i="5"/>
  <c r="A5361" i="5"/>
  <c r="B5360" i="5"/>
  <c r="A5360" i="5"/>
  <c r="B5359" i="5"/>
  <c r="A5359" i="5"/>
  <c r="B5358" i="5"/>
  <c r="A5358" i="5"/>
  <c r="B5357" i="5"/>
  <c r="A5357" i="5"/>
  <c r="B5356" i="5"/>
  <c r="A5356" i="5"/>
  <c r="B5355" i="5"/>
  <c r="A5355" i="5"/>
  <c r="B5354" i="5"/>
  <c r="A5354" i="5"/>
  <c r="B5353" i="5"/>
  <c r="A5353" i="5"/>
  <c r="B5352" i="5"/>
  <c r="A5352" i="5"/>
  <c r="B5351" i="5"/>
  <c r="A5351" i="5"/>
  <c r="B5350" i="5"/>
  <c r="A5350" i="5"/>
  <c r="B5349" i="5"/>
  <c r="A5349" i="5"/>
  <c r="B5348" i="5"/>
  <c r="A5348" i="5"/>
  <c r="B5347" i="5"/>
  <c r="A5347" i="5"/>
  <c r="B5346" i="5"/>
  <c r="A5346" i="5"/>
  <c r="B5345" i="5"/>
  <c r="A5345" i="5"/>
  <c r="B5344" i="5"/>
  <c r="A5344" i="5"/>
  <c r="B5343" i="5"/>
  <c r="A5343" i="5"/>
  <c r="B5342" i="5"/>
  <c r="A5342" i="5"/>
  <c r="B5341" i="5"/>
  <c r="A5341" i="5"/>
  <c r="B5340" i="5"/>
  <c r="A5340" i="5"/>
  <c r="B5339" i="5"/>
  <c r="A5339" i="5"/>
  <c r="B5338" i="5"/>
  <c r="A5338" i="5"/>
  <c r="B5337" i="5"/>
  <c r="A5337" i="5"/>
  <c r="B5336" i="5"/>
  <c r="A5336" i="5"/>
  <c r="B5335" i="5"/>
  <c r="A5335" i="5"/>
  <c r="B5334" i="5"/>
  <c r="A5334" i="5"/>
  <c r="B5333" i="5"/>
  <c r="A5333" i="5"/>
  <c r="B5332" i="5"/>
  <c r="A5332" i="5"/>
  <c r="B5331" i="5"/>
  <c r="A5331" i="5"/>
  <c r="B5330" i="5"/>
  <c r="A5330" i="5"/>
  <c r="B5329" i="5"/>
  <c r="A5329" i="5"/>
  <c r="B5328" i="5"/>
  <c r="A5328" i="5"/>
  <c r="B5327" i="5"/>
  <c r="A5327" i="5"/>
  <c r="B5326" i="5"/>
  <c r="A5326" i="5"/>
  <c r="B5325" i="5"/>
  <c r="A5325" i="5"/>
  <c r="B5324" i="5"/>
  <c r="A5324" i="5"/>
  <c r="B5323" i="5"/>
  <c r="A5323" i="5"/>
  <c r="B5322" i="5"/>
  <c r="A5322" i="5"/>
  <c r="B5321" i="5"/>
  <c r="A5321" i="5"/>
  <c r="B5320" i="5"/>
  <c r="A5320" i="5"/>
  <c r="B5319" i="5"/>
  <c r="A5319" i="5"/>
  <c r="B5318" i="5"/>
  <c r="A5318" i="5"/>
  <c r="B5317" i="5"/>
  <c r="A5317" i="5"/>
  <c r="B5316" i="5"/>
  <c r="A5316" i="5"/>
  <c r="B5315" i="5"/>
  <c r="A5315" i="5"/>
  <c r="B5314" i="5"/>
  <c r="A5314" i="5"/>
  <c r="B5313" i="5"/>
  <c r="A5313" i="5"/>
  <c r="B5312" i="5"/>
  <c r="A5312" i="5"/>
  <c r="B5311" i="5"/>
  <c r="A5311" i="5"/>
  <c r="B5310" i="5"/>
  <c r="A5310" i="5"/>
  <c r="B5309" i="5"/>
  <c r="A5309" i="5"/>
  <c r="B5308" i="5"/>
  <c r="A5308" i="5"/>
  <c r="B5307" i="5"/>
  <c r="A5307" i="5"/>
  <c r="B5306" i="5"/>
  <c r="A5306" i="5"/>
  <c r="B5305" i="5"/>
  <c r="A5305" i="5"/>
  <c r="B5304" i="5"/>
  <c r="A5304" i="5"/>
  <c r="B5303" i="5"/>
  <c r="A5303" i="5"/>
  <c r="B5302" i="5"/>
  <c r="A5302" i="5"/>
  <c r="B5301" i="5"/>
  <c r="A5301" i="5"/>
  <c r="B5300" i="5"/>
  <c r="A5300" i="5"/>
  <c r="B5299" i="5"/>
  <c r="A5299" i="5"/>
  <c r="B5298" i="5"/>
  <c r="A5298" i="5"/>
  <c r="B5297" i="5"/>
  <c r="A5297" i="5"/>
  <c r="B5296" i="5"/>
  <c r="A5296" i="5"/>
  <c r="B5295" i="5"/>
  <c r="A5295" i="5"/>
  <c r="B5294" i="5"/>
  <c r="A5294" i="5"/>
  <c r="B5293" i="5"/>
  <c r="A5293" i="5"/>
  <c r="B5292" i="5"/>
  <c r="A5292" i="5"/>
  <c r="B5291" i="5"/>
  <c r="A5291" i="5"/>
  <c r="B5290" i="5"/>
  <c r="A5290" i="5"/>
  <c r="B5289" i="5"/>
  <c r="A5289" i="5"/>
  <c r="B5288" i="5"/>
  <c r="A5288" i="5"/>
  <c r="B5287" i="5"/>
  <c r="A5287" i="5"/>
  <c r="B5286" i="5"/>
  <c r="A5286" i="5"/>
  <c r="B5285" i="5"/>
  <c r="A5285" i="5"/>
  <c r="B5284" i="5"/>
  <c r="A5284" i="5"/>
  <c r="B5283" i="5"/>
  <c r="A5283" i="5"/>
  <c r="B5282" i="5"/>
  <c r="A5282" i="5"/>
  <c r="B5281" i="5"/>
  <c r="A5281" i="5"/>
  <c r="B5280" i="5"/>
  <c r="A5280" i="5"/>
  <c r="B5279" i="5"/>
  <c r="A5279" i="5"/>
  <c r="B5278" i="5"/>
  <c r="A5278" i="5"/>
  <c r="B5277" i="5"/>
  <c r="A5277" i="5"/>
  <c r="B5276" i="5"/>
  <c r="A5276" i="5"/>
  <c r="B5275" i="5"/>
  <c r="A5275" i="5"/>
  <c r="B5274" i="5"/>
  <c r="A5274" i="5"/>
  <c r="B5273" i="5"/>
  <c r="A5273" i="5"/>
  <c r="B5272" i="5"/>
  <c r="A5272" i="5"/>
  <c r="B5271" i="5"/>
  <c r="A5271" i="5"/>
  <c r="B5270" i="5"/>
  <c r="A5270" i="5"/>
  <c r="B5269" i="5"/>
  <c r="A5269" i="5"/>
  <c r="B5268" i="5"/>
  <c r="A5268" i="5"/>
  <c r="B5267" i="5"/>
  <c r="A5267" i="5"/>
  <c r="B5266" i="5"/>
  <c r="A5266" i="5"/>
  <c r="B5265" i="5"/>
  <c r="A5265" i="5"/>
  <c r="B5264" i="5"/>
  <c r="A5264" i="5"/>
  <c r="B5263" i="5"/>
  <c r="A5263" i="5"/>
  <c r="B5262" i="5"/>
  <c r="A5262" i="5"/>
  <c r="B5261" i="5"/>
  <c r="A5261" i="5"/>
  <c r="B5260" i="5"/>
  <c r="A5260" i="5"/>
  <c r="B5259" i="5"/>
  <c r="A5259" i="5"/>
  <c r="B5258" i="5"/>
  <c r="A5258" i="5"/>
  <c r="B5257" i="5"/>
  <c r="A5257" i="5"/>
  <c r="B5256" i="5"/>
  <c r="A5256" i="5"/>
  <c r="B5255" i="5"/>
  <c r="A5255" i="5"/>
  <c r="B5254" i="5"/>
  <c r="A5254" i="5"/>
  <c r="B5253" i="5"/>
  <c r="A5253" i="5"/>
  <c r="B5252" i="5"/>
  <c r="A5252" i="5"/>
  <c r="B5251" i="5"/>
  <c r="A5251" i="5"/>
  <c r="B5250" i="5"/>
  <c r="A5250" i="5"/>
  <c r="B5249" i="5"/>
  <c r="A5249" i="5"/>
  <c r="B5248" i="5"/>
  <c r="A5248" i="5"/>
  <c r="B5247" i="5"/>
  <c r="A5247" i="5"/>
  <c r="B5246" i="5"/>
  <c r="A5246" i="5"/>
  <c r="B5245" i="5"/>
  <c r="A5245" i="5"/>
  <c r="B5244" i="5"/>
  <c r="A5244" i="5"/>
  <c r="B5243" i="5"/>
  <c r="A5243" i="5"/>
  <c r="B5242" i="5"/>
  <c r="A5242" i="5"/>
  <c r="B5241" i="5"/>
  <c r="A5241" i="5"/>
  <c r="B5240" i="5"/>
  <c r="A5240" i="5"/>
  <c r="B5239" i="5"/>
  <c r="A5239" i="5"/>
  <c r="B5238" i="5"/>
  <c r="A5238" i="5"/>
  <c r="B5237" i="5"/>
  <c r="A5237" i="5"/>
  <c r="B5236" i="5"/>
  <c r="A5236" i="5"/>
  <c r="B5235" i="5"/>
  <c r="A5235" i="5"/>
  <c r="B5234" i="5"/>
  <c r="A5234" i="5"/>
  <c r="B5233" i="5"/>
  <c r="A5233" i="5"/>
  <c r="B5232" i="5"/>
  <c r="A5232" i="5"/>
  <c r="B5231" i="5"/>
  <c r="A5231" i="5"/>
  <c r="B5230" i="5"/>
  <c r="A5230" i="5"/>
  <c r="B5229" i="5"/>
  <c r="A5229" i="5"/>
  <c r="B5228" i="5"/>
  <c r="A5228" i="5"/>
  <c r="B5227" i="5"/>
  <c r="A5227" i="5"/>
  <c r="B5226" i="5"/>
  <c r="A5226" i="5"/>
  <c r="B5225" i="5"/>
  <c r="A5225" i="5"/>
  <c r="B5224" i="5"/>
  <c r="A5224" i="5"/>
  <c r="B5223" i="5"/>
  <c r="A5223" i="5"/>
  <c r="B5222" i="5"/>
  <c r="A5222" i="5"/>
  <c r="B5221" i="5"/>
  <c r="A5221" i="5"/>
  <c r="B5220" i="5"/>
  <c r="A5220" i="5"/>
  <c r="B5219" i="5"/>
  <c r="A5219" i="5"/>
  <c r="B5218" i="5"/>
  <c r="A5218" i="5"/>
  <c r="B5217" i="5"/>
  <c r="A5217" i="5"/>
  <c r="B5216" i="5"/>
  <c r="A5216" i="5"/>
  <c r="B5215" i="5"/>
  <c r="A5215" i="5"/>
  <c r="B5214" i="5"/>
  <c r="A5214" i="5"/>
  <c r="B5213" i="5"/>
  <c r="A5213" i="5"/>
  <c r="B5212" i="5"/>
  <c r="A5212" i="5"/>
  <c r="B5211" i="5"/>
  <c r="A5211" i="5"/>
  <c r="B5210" i="5"/>
  <c r="A5210" i="5"/>
  <c r="B5209" i="5"/>
  <c r="A5209" i="5"/>
  <c r="B5208" i="5"/>
  <c r="A5208" i="5"/>
  <c r="B5207" i="5"/>
  <c r="A5207" i="5"/>
  <c r="B5206" i="5"/>
  <c r="A5206" i="5"/>
  <c r="B5205" i="5"/>
  <c r="A5205" i="5"/>
  <c r="B5204" i="5"/>
  <c r="A5204" i="5"/>
  <c r="B5203" i="5"/>
  <c r="A5203" i="5"/>
  <c r="B5202" i="5"/>
  <c r="A5202" i="5"/>
  <c r="B5201" i="5"/>
  <c r="A5201" i="5"/>
  <c r="B5200" i="5"/>
  <c r="A5200" i="5"/>
  <c r="B5199" i="5"/>
  <c r="A5199" i="5"/>
  <c r="B5198" i="5"/>
  <c r="A5198" i="5"/>
  <c r="B5197" i="5"/>
  <c r="A5197" i="5"/>
  <c r="B5196" i="5"/>
  <c r="A5196" i="5"/>
  <c r="B5195" i="5"/>
  <c r="A5195" i="5"/>
  <c r="B5194" i="5"/>
  <c r="A5194" i="5"/>
  <c r="B5193" i="5"/>
  <c r="A5193" i="5"/>
  <c r="B5192" i="5"/>
  <c r="A5192" i="5"/>
  <c r="B5191" i="5"/>
  <c r="A5191" i="5"/>
  <c r="B5190" i="5"/>
  <c r="A5190" i="5"/>
  <c r="B5189" i="5"/>
  <c r="A5189" i="5"/>
  <c r="B5188" i="5"/>
  <c r="A5188" i="5"/>
  <c r="B5187" i="5"/>
  <c r="A5187" i="5"/>
  <c r="B5186" i="5"/>
  <c r="A5186" i="5"/>
  <c r="B5185" i="5"/>
  <c r="A5185" i="5"/>
  <c r="B5184" i="5"/>
  <c r="A5184" i="5"/>
  <c r="B5183" i="5"/>
  <c r="A5183" i="5"/>
  <c r="B5182" i="5"/>
  <c r="A5182" i="5"/>
  <c r="B5181" i="5"/>
  <c r="A5181" i="5"/>
  <c r="B5180" i="5"/>
  <c r="A5180" i="5"/>
  <c r="B5179" i="5"/>
  <c r="A5179" i="5"/>
  <c r="B5178" i="5"/>
  <c r="A5178" i="5"/>
  <c r="B5177" i="5"/>
  <c r="A5177" i="5"/>
  <c r="B5176" i="5"/>
  <c r="A5176" i="5"/>
  <c r="B5175" i="5"/>
  <c r="A5175" i="5"/>
  <c r="B5174" i="5"/>
  <c r="A5174" i="5"/>
  <c r="B5173" i="5"/>
  <c r="A5173" i="5"/>
  <c r="B5172" i="5"/>
  <c r="A5172" i="5"/>
  <c r="B5171" i="5"/>
  <c r="A5171" i="5"/>
  <c r="B5170" i="5"/>
  <c r="A5170" i="5"/>
  <c r="B5169" i="5"/>
  <c r="A5169" i="5"/>
  <c r="B5168" i="5"/>
  <c r="A5168" i="5"/>
  <c r="B5167" i="5"/>
  <c r="A5167" i="5"/>
  <c r="B5166" i="5"/>
  <c r="A5166" i="5"/>
  <c r="B5165" i="5"/>
  <c r="A5165" i="5"/>
  <c r="B5164" i="5"/>
  <c r="A5164" i="5"/>
  <c r="B5163" i="5"/>
  <c r="A5163" i="5"/>
  <c r="B5162" i="5"/>
  <c r="A5162" i="5"/>
  <c r="B5161" i="5"/>
  <c r="A5161" i="5"/>
  <c r="B5160" i="5"/>
  <c r="A5160" i="5"/>
  <c r="B5159" i="5"/>
  <c r="A5159" i="5"/>
  <c r="B5158" i="5"/>
  <c r="A5158" i="5"/>
  <c r="B5157" i="5"/>
  <c r="A5157" i="5"/>
  <c r="B5156" i="5"/>
  <c r="A5156" i="5"/>
  <c r="B5155" i="5"/>
  <c r="A5155" i="5"/>
  <c r="B5154" i="5"/>
  <c r="A5154" i="5"/>
  <c r="B5153" i="5"/>
  <c r="A5153" i="5"/>
  <c r="B5152" i="5"/>
  <c r="A5152" i="5"/>
  <c r="B5151" i="5"/>
  <c r="A5151" i="5"/>
  <c r="B5150" i="5"/>
  <c r="A5150" i="5"/>
  <c r="B5149" i="5"/>
  <c r="A5149" i="5"/>
  <c r="B5148" i="5"/>
  <c r="A5148" i="5"/>
  <c r="B5147" i="5"/>
  <c r="A5147" i="5"/>
  <c r="B5146" i="5"/>
  <c r="A5146" i="5"/>
  <c r="B5145" i="5"/>
  <c r="A5145" i="5"/>
  <c r="B5144" i="5"/>
  <c r="A5144" i="5"/>
  <c r="B5143" i="5"/>
  <c r="A5143" i="5"/>
  <c r="B5142" i="5"/>
  <c r="A5142" i="5"/>
  <c r="B5141" i="5"/>
  <c r="A5141" i="5"/>
  <c r="B5140" i="5"/>
  <c r="A5140" i="5"/>
  <c r="B5139" i="5"/>
  <c r="A5139" i="5"/>
  <c r="B5138" i="5"/>
  <c r="A5138" i="5"/>
  <c r="B5137" i="5"/>
  <c r="A5137" i="5"/>
  <c r="B5136" i="5"/>
  <c r="A5136" i="5"/>
  <c r="B5135" i="5"/>
  <c r="A5135" i="5"/>
  <c r="B5134" i="5"/>
  <c r="A5134" i="5"/>
  <c r="B5133" i="5"/>
  <c r="A5133" i="5"/>
  <c r="B5132" i="5"/>
  <c r="A5132" i="5"/>
  <c r="B5131" i="5"/>
  <c r="A5131" i="5"/>
  <c r="B5130" i="5"/>
  <c r="A5130" i="5"/>
  <c r="B5129" i="5"/>
  <c r="A5129" i="5"/>
  <c r="B5128" i="5"/>
  <c r="A5128" i="5"/>
  <c r="B5127" i="5"/>
  <c r="A5127" i="5"/>
  <c r="B5126" i="5"/>
  <c r="A5126" i="5"/>
  <c r="B5125" i="5"/>
  <c r="A5125" i="5"/>
  <c r="B5124" i="5"/>
  <c r="A5124" i="5"/>
  <c r="B5123" i="5"/>
  <c r="A5123" i="5"/>
  <c r="B5122" i="5"/>
  <c r="A5122" i="5"/>
  <c r="B5121" i="5"/>
  <c r="A5121" i="5"/>
  <c r="B5120" i="5"/>
  <c r="A5120" i="5"/>
  <c r="B5119" i="5"/>
  <c r="A5119" i="5"/>
  <c r="B5118" i="5"/>
  <c r="A5118" i="5"/>
  <c r="B5117" i="5"/>
  <c r="A5117" i="5"/>
  <c r="B5116" i="5"/>
  <c r="A5116" i="5"/>
  <c r="B5115" i="5"/>
  <c r="A5115" i="5"/>
  <c r="B5114" i="5"/>
  <c r="A5114" i="5"/>
  <c r="B5113" i="5"/>
  <c r="A5113" i="5"/>
  <c r="B5112" i="5"/>
  <c r="A5112" i="5"/>
  <c r="B5111" i="5"/>
  <c r="A5111" i="5"/>
  <c r="B5110" i="5"/>
  <c r="A5110" i="5"/>
  <c r="B5109" i="5"/>
  <c r="A5109" i="5"/>
  <c r="B5108" i="5"/>
  <c r="A5108" i="5"/>
  <c r="B5107" i="5"/>
  <c r="A5107" i="5"/>
  <c r="B5106" i="5"/>
  <c r="A5106" i="5"/>
  <c r="B5105" i="5"/>
  <c r="A5105" i="5"/>
  <c r="B5104" i="5"/>
  <c r="A5104" i="5"/>
  <c r="B5103" i="5"/>
  <c r="A5103" i="5"/>
  <c r="B5102" i="5"/>
  <c r="A5102" i="5"/>
  <c r="B5101" i="5"/>
  <c r="A5101" i="5"/>
  <c r="B5100" i="5"/>
  <c r="A5100" i="5"/>
  <c r="B5099" i="5"/>
  <c r="A5099" i="5"/>
  <c r="B5098" i="5"/>
  <c r="A5098" i="5"/>
  <c r="B5097" i="5"/>
  <c r="A5097" i="5"/>
  <c r="B5096" i="5"/>
  <c r="A5096" i="5"/>
  <c r="B5095" i="5"/>
  <c r="A5095" i="5"/>
  <c r="B5094" i="5"/>
  <c r="A5094" i="5"/>
  <c r="B5093" i="5"/>
  <c r="A5093" i="5"/>
  <c r="B5092" i="5"/>
  <c r="A5092" i="5"/>
  <c r="B5091" i="5"/>
  <c r="A5091" i="5"/>
  <c r="B5090" i="5"/>
  <c r="A5090" i="5"/>
  <c r="B5089" i="5"/>
  <c r="A5089" i="5"/>
  <c r="B5088" i="5"/>
  <c r="A5088" i="5"/>
  <c r="B5087" i="5"/>
  <c r="A5087" i="5"/>
  <c r="B5086" i="5"/>
  <c r="A5086" i="5"/>
  <c r="B5085" i="5"/>
  <c r="A5085" i="5"/>
  <c r="B5084" i="5"/>
  <c r="A5084" i="5"/>
  <c r="B5083" i="5"/>
  <c r="A5083" i="5"/>
  <c r="B5082" i="5"/>
  <c r="A5082" i="5"/>
  <c r="B5081" i="5"/>
  <c r="A5081" i="5"/>
  <c r="B5080" i="5"/>
  <c r="A5080" i="5"/>
  <c r="B5079" i="5"/>
  <c r="A5079" i="5"/>
  <c r="B5078" i="5"/>
  <c r="A5078" i="5"/>
  <c r="B5077" i="5"/>
  <c r="A5077" i="5"/>
  <c r="B5076" i="5"/>
  <c r="A5076" i="5"/>
  <c r="B5075" i="5"/>
  <c r="A5075" i="5"/>
  <c r="B5074" i="5"/>
  <c r="A5074" i="5"/>
  <c r="B5073" i="5"/>
  <c r="A5073" i="5"/>
  <c r="B5072" i="5"/>
  <c r="A5072" i="5"/>
  <c r="B5071" i="5"/>
  <c r="A5071" i="5"/>
  <c r="B5070" i="5"/>
  <c r="A5070" i="5"/>
  <c r="B5069" i="5"/>
  <c r="A5069" i="5"/>
  <c r="B5068" i="5"/>
  <c r="A5068" i="5"/>
  <c r="B5067" i="5"/>
  <c r="A5067" i="5"/>
  <c r="B5066" i="5"/>
  <c r="A5066" i="5"/>
  <c r="B5065" i="5"/>
  <c r="A5065" i="5"/>
  <c r="B5064" i="5"/>
  <c r="A5064" i="5"/>
  <c r="B5063" i="5"/>
  <c r="A5063" i="5"/>
  <c r="B5062" i="5"/>
  <c r="A5062" i="5"/>
  <c r="B5061" i="5"/>
  <c r="A5061" i="5"/>
  <c r="B5060" i="5"/>
  <c r="A5060" i="5"/>
  <c r="B5059" i="5"/>
  <c r="A5059" i="5"/>
  <c r="B5058" i="5"/>
  <c r="A5058" i="5"/>
  <c r="B5057" i="5"/>
  <c r="A5057" i="5"/>
  <c r="B5056" i="5"/>
  <c r="A5056" i="5"/>
  <c r="B5055" i="5"/>
  <c r="A5055" i="5"/>
  <c r="B5054" i="5"/>
  <c r="A5054" i="5"/>
  <c r="B5053" i="5"/>
  <c r="A5053" i="5"/>
  <c r="B5052" i="5"/>
  <c r="A5052" i="5"/>
  <c r="B5051" i="5"/>
  <c r="A5051" i="5"/>
  <c r="B5050" i="5"/>
  <c r="A5050" i="5"/>
  <c r="B5049" i="5"/>
  <c r="A5049" i="5"/>
  <c r="B5048" i="5"/>
  <c r="A5048" i="5"/>
  <c r="B5047" i="5"/>
  <c r="A5047" i="5"/>
  <c r="B5046" i="5"/>
  <c r="A5046" i="5"/>
  <c r="B5045" i="5"/>
  <c r="A5045" i="5"/>
  <c r="B5044" i="5"/>
  <c r="A5044" i="5"/>
  <c r="B5043" i="5"/>
  <c r="A5043" i="5"/>
  <c r="B5042" i="5"/>
  <c r="A5042" i="5"/>
  <c r="B5041" i="5"/>
  <c r="A5041" i="5"/>
  <c r="B5040" i="5"/>
  <c r="A5040" i="5"/>
  <c r="B5039" i="5"/>
  <c r="A5039" i="5"/>
  <c r="B5038" i="5"/>
  <c r="A5038" i="5"/>
  <c r="B5037" i="5"/>
  <c r="A5037" i="5"/>
  <c r="B5036" i="5"/>
  <c r="A5036" i="5"/>
  <c r="B5035" i="5"/>
  <c r="A5035" i="5"/>
  <c r="B5034" i="5"/>
  <c r="A5034" i="5"/>
  <c r="B5033" i="5"/>
  <c r="A5033" i="5"/>
  <c r="B5032" i="5"/>
  <c r="A5032" i="5"/>
  <c r="B5031" i="5"/>
  <c r="A5031" i="5"/>
  <c r="B5030" i="5"/>
  <c r="A5030" i="5"/>
  <c r="B5029" i="5"/>
  <c r="A5029" i="5"/>
  <c r="B5028" i="5"/>
  <c r="A5028" i="5"/>
  <c r="B5027" i="5"/>
  <c r="A5027" i="5"/>
  <c r="B5026" i="5"/>
  <c r="A5026" i="5"/>
  <c r="B5025" i="5"/>
  <c r="A5025" i="5"/>
  <c r="B5024" i="5"/>
  <c r="A5024" i="5"/>
  <c r="B5023" i="5"/>
  <c r="A5023" i="5"/>
  <c r="B5022" i="5"/>
  <c r="A5022" i="5"/>
  <c r="B5021" i="5"/>
  <c r="A5021" i="5"/>
  <c r="B5020" i="5"/>
  <c r="A5020" i="5"/>
  <c r="B5019" i="5"/>
  <c r="A5019" i="5"/>
  <c r="B5018" i="5"/>
  <c r="A5018" i="5"/>
  <c r="B5017" i="5"/>
  <c r="A5017" i="5"/>
  <c r="B5016" i="5"/>
  <c r="A5016" i="5"/>
  <c r="B5015" i="5"/>
  <c r="A5015" i="5"/>
  <c r="B5014" i="5"/>
  <c r="A5014" i="5"/>
  <c r="B5013" i="5"/>
  <c r="A5013" i="5"/>
  <c r="B5012" i="5"/>
  <c r="A5012" i="5"/>
  <c r="B5011" i="5"/>
  <c r="A5011" i="5"/>
  <c r="B5010" i="5"/>
  <c r="A5010" i="5"/>
  <c r="B5009" i="5"/>
  <c r="A5009" i="5"/>
  <c r="B5008" i="5"/>
  <c r="A5008" i="5"/>
  <c r="B5007" i="5"/>
  <c r="A5007" i="5"/>
  <c r="B5006" i="5"/>
  <c r="A5006" i="5"/>
  <c r="B5005" i="5"/>
  <c r="A5005" i="5"/>
  <c r="B5004" i="5"/>
  <c r="A5004" i="5"/>
  <c r="B5003" i="5"/>
  <c r="A5003" i="5"/>
  <c r="B5002" i="5"/>
  <c r="A5002" i="5"/>
  <c r="B5001" i="5"/>
  <c r="A5001" i="5"/>
  <c r="B5000" i="5"/>
  <c r="A5000" i="5"/>
  <c r="B4999" i="5"/>
  <c r="A4999" i="5"/>
  <c r="B4998" i="5"/>
  <c r="A4998" i="5"/>
  <c r="B4997" i="5"/>
  <c r="A4997" i="5"/>
  <c r="B4996" i="5"/>
  <c r="A4996" i="5"/>
  <c r="B4995" i="5"/>
  <c r="A4995" i="5"/>
  <c r="B4994" i="5"/>
  <c r="A4994" i="5"/>
  <c r="B4993" i="5"/>
  <c r="A4993" i="5"/>
  <c r="B4992" i="5"/>
  <c r="A4992" i="5"/>
  <c r="B4991" i="5"/>
  <c r="A4991" i="5"/>
  <c r="B4990" i="5"/>
  <c r="A4990" i="5"/>
  <c r="B4989" i="5"/>
  <c r="A4989" i="5"/>
  <c r="B4988" i="5"/>
  <c r="A4988" i="5"/>
  <c r="B4987" i="5"/>
  <c r="A4987" i="5"/>
  <c r="B4986" i="5"/>
  <c r="A4986" i="5"/>
  <c r="B4985" i="5"/>
  <c r="A4985" i="5"/>
  <c r="B4984" i="5"/>
  <c r="A4984" i="5"/>
  <c r="B4983" i="5"/>
  <c r="A4983" i="5"/>
  <c r="B4982" i="5"/>
  <c r="A4982" i="5"/>
  <c r="B4981" i="5"/>
  <c r="A4981" i="5"/>
  <c r="B4980" i="5"/>
  <c r="A4980" i="5"/>
  <c r="B4979" i="5"/>
  <c r="A4979" i="5"/>
  <c r="B4978" i="5"/>
  <c r="A4978" i="5"/>
  <c r="B4977" i="5"/>
  <c r="A4977" i="5"/>
  <c r="B4976" i="5"/>
  <c r="A4976" i="5"/>
  <c r="B4975" i="5"/>
  <c r="A4975" i="5"/>
  <c r="B4974" i="5"/>
  <c r="A4974" i="5"/>
  <c r="B4973" i="5"/>
  <c r="A4973" i="5"/>
  <c r="B4972" i="5"/>
  <c r="A4972" i="5"/>
  <c r="B4971" i="5"/>
  <c r="A4971" i="5"/>
  <c r="B4970" i="5"/>
  <c r="A4970" i="5"/>
  <c r="B4969" i="5"/>
  <c r="A4969" i="5"/>
  <c r="B4968" i="5"/>
  <c r="A4968" i="5"/>
  <c r="B4967" i="5"/>
  <c r="A4967" i="5"/>
  <c r="B4966" i="5"/>
  <c r="A4966" i="5"/>
  <c r="B4965" i="5"/>
  <c r="A4965" i="5"/>
  <c r="B4964" i="5"/>
  <c r="A4964" i="5"/>
  <c r="B4963" i="5"/>
  <c r="A4963" i="5"/>
  <c r="B4962" i="5"/>
  <c r="A4962" i="5"/>
  <c r="B4961" i="5"/>
  <c r="A4961" i="5"/>
  <c r="B4960" i="5"/>
  <c r="A4960" i="5"/>
  <c r="B4959" i="5"/>
  <c r="A4959" i="5"/>
  <c r="B4958" i="5"/>
  <c r="A4958" i="5"/>
  <c r="B4957" i="5"/>
  <c r="A4957" i="5"/>
  <c r="B4956" i="5"/>
  <c r="A4956" i="5"/>
  <c r="B4955" i="5"/>
  <c r="A4955" i="5"/>
  <c r="B4954" i="5"/>
  <c r="A4954" i="5"/>
  <c r="B4953" i="5"/>
  <c r="A4953" i="5"/>
  <c r="B4952" i="5"/>
  <c r="A4952" i="5"/>
  <c r="B4951" i="5"/>
  <c r="A4951" i="5"/>
  <c r="B4950" i="5"/>
  <c r="A4950" i="5"/>
  <c r="B4949" i="5"/>
  <c r="A4949" i="5"/>
  <c r="B4948" i="5"/>
  <c r="A4948" i="5"/>
  <c r="B4947" i="5"/>
  <c r="A4947" i="5"/>
  <c r="B4946" i="5"/>
  <c r="A4946" i="5"/>
  <c r="B4945" i="5"/>
  <c r="A4945" i="5"/>
  <c r="B4944" i="5"/>
  <c r="A4944" i="5"/>
  <c r="B4943" i="5"/>
  <c r="A4943" i="5"/>
  <c r="B4942" i="5"/>
  <c r="A4942" i="5"/>
  <c r="B4941" i="5"/>
  <c r="A4941" i="5"/>
  <c r="B4940" i="5"/>
  <c r="A4940" i="5"/>
  <c r="B4939" i="5"/>
  <c r="A4939" i="5"/>
  <c r="B4938" i="5"/>
  <c r="A4938" i="5"/>
  <c r="B4937" i="5"/>
  <c r="A4937" i="5"/>
  <c r="B4936" i="5"/>
  <c r="A4936" i="5"/>
  <c r="B4935" i="5"/>
  <c r="A4935" i="5"/>
  <c r="B4934" i="5"/>
  <c r="A4934" i="5"/>
  <c r="B4933" i="5"/>
  <c r="A4933" i="5"/>
  <c r="B4932" i="5"/>
  <c r="A4932" i="5"/>
  <c r="B4931" i="5"/>
  <c r="A4931" i="5"/>
  <c r="B4930" i="5"/>
  <c r="A4930" i="5"/>
  <c r="B4929" i="5"/>
  <c r="A4929" i="5"/>
  <c r="B4928" i="5"/>
  <c r="A4928" i="5"/>
  <c r="B4927" i="5"/>
  <c r="A4927" i="5"/>
  <c r="B4926" i="5"/>
  <c r="A4926" i="5"/>
  <c r="B4925" i="5"/>
  <c r="A4925" i="5"/>
  <c r="B4924" i="5"/>
  <c r="A4924" i="5"/>
  <c r="B4923" i="5"/>
  <c r="A4923" i="5"/>
  <c r="B4922" i="5"/>
  <c r="A4922" i="5"/>
  <c r="B4921" i="5"/>
  <c r="A4921" i="5"/>
  <c r="B4920" i="5"/>
  <c r="A4920" i="5"/>
  <c r="B4919" i="5"/>
  <c r="A4919" i="5"/>
  <c r="B4918" i="5"/>
  <c r="A4918" i="5"/>
  <c r="B4917" i="5"/>
  <c r="A4917" i="5"/>
  <c r="B4916" i="5"/>
  <c r="A4916" i="5"/>
  <c r="B4915" i="5"/>
  <c r="A4915" i="5"/>
  <c r="B4914" i="5"/>
  <c r="A4914" i="5"/>
  <c r="B4913" i="5"/>
  <c r="A4913" i="5"/>
  <c r="B4912" i="5"/>
  <c r="A4912" i="5"/>
  <c r="B4911" i="5"/>
  <c r="A4911" i="5"/>
  <c r="B4910" i="5"/>
  <c r="A4910" i="5"/>
  <c r="B4909" i="5"/>
  <c r="A4909" i="5"/>
  <c r="B4908" i="5"/>
  <c r="A4908" i="5"/>
  <c r="B4907" i="5"/>
  <c r="A4907" i="5"/>
  <c r="B4906" i="5"/>
  <c r="A4906" i="5"/>
  <c r="B4905" i="5"/>
  <c r="A4905" i="5"/>
  <c r="B4904" i="5"/>
  <c r="A4904" i="5"/>
  <c r="B4903" i="5"/>
  <c r="A4903" i="5"/>
  <c r="B4902" i="5"/>
  <c r="A4902" i="5"/>
  <c r="B4901" i="5"/>
  <c r="A4901" i="5"/>
  <c r="B4900" i="5"/>
  <c r="A4900" i="5"/>
  <c r="B4899" i="5"/>
  <c r="A4899" i="5"/>
  <c r="B4898" i="5"/>
  <c r="A4898" i="5"/>
  <c r="B4897" i="5"/>
  <c r="A4897" i="5"/>
  <c r="B4896" i="5"/>
  <c r="A4896" i="5"/>
  <c r="B4895" i="5"/>
  <c r="A4895" i="5"/>
  <c r="B4894" i="5"/>
  <c r="A4894" i="5"/>
  <c r="B4893" i="5"/>
  <c r="A4893" i="5"/>
  <c r="B4892" i="5"/>
  <c r="A4892" i="5"/>
  <c r="B4891" i="5"/>
  <c r="A4891" i="5"/>
  <c r="B4890" i="5"/>
  <c r="A4890" i="5"/>
  <c r="B4889" i="5"/>
  <c r="A4889" i="5"/>
  <c r="B4888" i="5"/>
  <c r="A4888" i="5"/>
  <c r="B4887" i="5"/>
  <c r="A4887" i="5"/>
  <c r="B4886" i="5"/>
  <c r="A4886" i="5"/>
  <c r="B4885" i="5"/>
  <c r="A4885" i="5"/>
  <c r="B4884" i="5"/>
  <c r="A4884" i="5"/>
  <c r="B4883" i="5"/>
  <c r="A4883" i="5"/>
  <c r="B4882" i="5"/>
  <c r="A4882" i="5"/>
  <c r="B4881" i="5"/>
  <c r="A4881" i="5"/>
  <c r="B4880" i="5"/>
  <c r="A4880" i="5"/>
  <c r="B4879" i="5"/>
  <c r="A4879" i="5"/>
  <c r="B4878" i="5"/>
  <c r="A4878" i="5"/>
  <c r="B4877" i="5"/>
  <c r="A4877" i="5"/>
  <c r="B4876" i="5"/>
  <c r="A4876" i="5"/>
  <c r="B4875" i="5"/>
  <c r="A4875" i="5"/>
  <c r="B4874" i="5"/>
  <c r="A4874" i="5"/>
  <c r="B4873" i="5"/>
  <c r="A4873" i="5"/>
  <c r="B4872" i="5"/>
  <c r="A4872" i="5"/>
  <c r="B4871" i="5"/>
  <c r="A4871" i="5"/>
  <c r="B4870" i="5"/>
  <c r="A4870" i="5"/>
  <c r="B4869" i="5"/>
  <c r="A4869" i="5"/>
  <c r="B4868" i="5"/>
  <c r="A4868" i="5"/>
  <c r="B4867" i="5"/>
  <c r="A4867" i="5"/>
  <c r="B4866" i="5"/>
  <c r="A4866" i="5"/>
  <c r="B4865" i="5"/>
  <c r="A4865" i="5"/>
  <c r="B4864" i="5"/>
  <c r="A4864" i="5"/>
  <c r="B4863" i="5"/>
  <c r="A4863" i="5"/>
  <c r="B4862" i="5"/>
  <c r="A4862" i="5"/>
  <c r="B4861" i="5"/>
  <c r="A4861" i="5"/>
  <c r="B4860" i="5"/>
  <c r="A4860" i="5"/>
  <c r="B4859" i="5"/>
  <c r="A4859" i="5"/>
  <c r="B4858" i="5"/>
  <c r="A4858" i="5"/>
  <c r="B4857" i="5"/>
  <c r="A4857" i="5"/>
  <c r="B4856" i="5"/>
  <c r="A4856" i="5"/>
  <c r="B4855" i="5"/>
  <c r="A4855" i="5"/>
  <c r="B4854" i="5"/>
  <c r="A4854" i="5"/>
  <c r="B4853" i="5"/>
  <c r="A4853" i="5"/>
  <c r="B4852" i="5"/>
  <c r="A4852" i="5"/>
  <c r="B4851" i="5"/>
  <c r="A4851" i="5"/>
  <c r="B4850" i="5"/>
  <c r="A4850" i="5"/>
  <c r="B4849" i="5"/>
  <c r="A4849" i="5"/>
  <c r="B4848" i="5"/>
  <c r="A4848" i="5"/>
  <c r="B4847" i="5"/>
  <c r="A4847" i="5"/>
  <c r="B4846" i="5"/>
  <c r="A4846" i="5"/>
  <c r="B4845" i="5"/>
  <c r="A4845" i="5"/>
  <c r="B4844" i="5"/>
  <c r="A4844" i="5"/>
  <c r="B4843" i="5"/>
  <c r="A4843" i="5"/>
  <c r="B4842" i="5"/>
  <c r="A4842" i="5"/>
  <c r="B4841" i="5"/>
  <c r="A4841" i="5"/>
  <c r="B4840" i="5"/>
  <c r="A4840" i="5"/>
  <c r="B4839" i="5"/>
  <c r="A4839" i="5"/>
  <c r="B4838" i="5"/>
  <c r="A4838" i="5"/>
  <c r="B4837" i="5"/>
  <c r="A4837" i="5"/>
  <c r="B4836" i="5"/>
  <c r="A4836" i="5"/>
  <c r="B4835" i="5"/>
  <c r="A4835" i="5"/>
  <c r="B4834" i="5"/>
  <c r="A4834" i="5"/>
  <c r="B4833" i="5"/>
  <c r="A4833" i="5"/>
  <c r="B4832" i="5"/>
  <c r="A4832" i="5"/>
  <c r="B4831" i="5"/>
  <c r="A4831" i="5"/>
  <c r="B4830" i="5"/>
  <c r="A4830" i="5"/>
  <c r="B4829" i="5"/>
  <c r="A4829" i="5"/>
  <c r="B4828" i="5"/>
  <c r="A4828" i="5"/>
  <c r="B4827" i="5"/>
  <c r="A4827" i="5"/>
  <c r="B4826" i="5"/>
  <c r="A4826" i="5"/>
  <c r="B4825" i="5"/>
  <c r="A4825" i="5"/>
  <c r="B4824" i="5"/>
  <c r="A4824" i="5"/>
  <c r="B4823" i="5"/>
  <c r="A4823" i="5"/>
  <c r="B4822" i="5"/>
  <c r="A4822" i="5"/>
  <c r="B4821" i="5"/>
  <c r="A4821" i="5"/>
  <c r="B4820" i="5"/>
  <c r="A4820" i="5"/>
  <c r="B4819" i="5"/>
  <c r="A4819" i="5"/>
  <c r="B4818" i="5"/>
  <c r="A4818" i="5"/>
  <c r="B4817" i="5"/>
  <c r="A4817" i="5"/>
  <c r="B4816" i="5"/>
  <c r="A4816" i="5"/>
  <c r="B4815" i="5"/>
  <c r="A4815" i="5"/>
  <c r="B4814" i="5"/>
  <c r="A4814" i="5"/>
  <c r="B4813" i="5"/>
  <c r="A4813" i="5"/>
  <c r="B4812" i="5"/>
  <c r="A4812" i="5"/>
  <c r="B4811" i="5"/>
  <c r="A4811" i="5"/>
  <c r="B4810" i="5"/>
  <c r="A4810" i="5"/>
  <c r="B4809" i="5"/>
  <c r="A4809" i="5"/>
  <c r="B4808" i="5"/>
  <c r="A4808" i="5"/>
  <c r="B4807" i="5"/>
  <c r="A4807" i="5"/>
  <c r="B4806" i="5"/>
  <c r="A4806" i="5"/>
  <c r="B4805" i="5"/>
  <c r="A4805" i="5"/>
  <c r="B4804" i="5"/>
  <c r="A4804" i="5"/>
  <c r="B4803" i="5"/>
  <c r="A4803" i="5"/>
  <c r="B4802" i="5"/>
  <c r="A4802" i="5"/>
  <c r="B4801" i="5"/>
  <c r="A4801" i="5"/>
  <c r="B4800" i="5"/>
  <c r="A4800" i="5"/>
  <c r="B4799" i="5"/>
  <c r="A4799" i="5"/>
  <c r="B4798" i="5"/>
  <c r="A4798" i="5"/>
  <c r="B4797" i="5"/>
  <c r="A4797" i="5"/>
  <c r="B4796" i="5"/>
  <c r="A4796" i="5"/>
  <c r="B4795" i="5"/>
  <c r="A4795" i="5"/>
  <c r="B4794" i="5"/>
  <c r="A4794" i="5"/>
  <c r="B4793" i="5"/>
  <c r="A4793" i="5"/>
  <c r="B4792" i="5"/>
  <c r="A4792" i="5"/>
  <c r="B4791" i="5"/>
  <c r="A4791" i="5"/>
  <c r="B4790" i="5"/>
  <c r="A4790" i="5"/>
  <c r="B4789" i="5"/>
  <c r="A4789" i="5"/>
  <c r="B4788" i="5"/>
  <c r="A4788" i="5"/>
  <c r="B4787" i="5"/>
  <c r="A4787" i="5"/>
  <c r="B4786" i="5"/>
  <c r="A4786" i="5"/>
  <c r="B4785" i="5"/>
  <c r="A4785" i="5"/>
  <c r="B4784" i="5"/>
  <c r="A4784" i="5"/>
  <c r="B4783" i="5"/>
  <c r="A4783" i="5"/>
  <c r="B4782" i="5"/>
  <c r="A4782" i="5"/>
  <c r="B4781" i="5"/>
  <c r="A4781" i="5"/>
  <c r="B4780" i="5"/>
  <c r="A4780" i="5"/>
  <c r="B4779" i="5"/>
  <c r="A4779" i="5"/>
  <c r="B4778" i="5"/>
  <c r="A4778" i="5"/>
  <c r="B4777" i="5"/>
  <c r="A4777" i="5"/>
  <c r="B4776" i="5"/>
  <c r="A4776" i="5"/>
  <c r="B4775" i="5"/>
  <c r="A4775" i="5"/>
  <c r="B4774" i="5"/>
  <c r="A4774" i="5"/>
  <c r="B4773" i="5"/>
  <c r="A4773" i="5"/>
  <c r="B4772" i="5"/>
  <c r="A4772" i="5"/>
  <c r="B4771" i="5"/>
  <c r="A4771" i="5"/>
  <c r="B4770" i="5"/>
  <c r="A4770" i="5"/>
  <c r="B4769" i="5"/>
  <c r="A4769" i="5"/>
  <c r="B4768" i="5"/>
  <c r="A4768" i="5"/>
  <c r="B4767" i="5"/>
  <c r="A4767" i="5"/>
  <c r="B4766" i="5"/>
  <c r="A4766" i="5"/>
  <c r="B4765" i="5"/>
  <c r="A4765" i="5"/>
  <c r="B4764" i="5"/>
  <c r="A4764" i="5"/>
  <c r="B4763" i="5"/>
  <c r="A4763" i="5"/>
  <c r="B4762" i="5"/>
  <c r="A4762" i="5"/>
  <c r="B4761" i="5"/>
  <c r="A4761" i="5"/>
  <c r="B4760" i="5"/>
  <c r="A4760" i="5"/>
  <c r="B4759" i="5"/>
  <c r="A4759" i="5"/>
  <c r="B4758" i="5"/>
  <c r="A4758" i="5"/>
  <c r="B4757" i="5"/>
  <c r="A4757" i="5"/>
  <c r="B4756" i="5"/>
  <c r="A4756" i="5"/>
  <c r="B4755" i="5"/>
  <c r="A4755" i="5"/>
  <c r="B4754" i="5"/>
  <c r="A4754" i="5"/>
  <c r="B4753" i="5"/>
  <c r="A4753" i="5"/>
  <c r="B4752" i="5"/>
  <c r="A4752" i="5"/>
  <c r="B4751" i="5"/>
  <c r="A4751" i="5"/>
  <c r="B4750" i="5"/>
  <c r="A4750" i="5"/>
  <c r="B4749" i="5"/>
  <c r="A4749" i="5"/>
  <c r="B4748" i="5"/>
  <c r="A4748" i="5"/>
  <c r="B4747" i="5"/>
  <c r="A4747" i="5"/>
  <c r="B4746" i="5"/>
  <c r="A4746" i="5"/>
  <c r="B4745" i="5"/>
  <c r="A4745" i="5"/>
  <c r="B4744" i="5"/>
  <c r="A4744" i="5"/>
  <c r="B4743" i="5"/>
  <c r="A4743" i="5"/>
  <c r="B4742" i="5"/>
  <c r="A4742" i="5"/>
  <c r="B4741" i="5"/>
  <c r="A4741" i="5"/>
  <c r="B4740" i="5"/>
  <c r="A4740" i="5"/>
  <c r="B4739" i="5"/>
  <c r="A4739" i="5"/>
  <c r="B4738" i="5"/>
  <c r="A4738" i="5"/>
  <c r="B4737" i="5"/>
  <c r="A4737" i="5"/>
  <c r="B4736" i="5"/>
  <c r="A4736" i="5"/>
  <c r="B4735" i="5"/>
  <c r="A4735" i="5"/>
  <c r="B4734" i="5"/>
  <c r="A4734" i="5"/>
  <c r="B4733" i="5"/>
  <c r="A4733" i="5"/>
  <c r="B4732" i="5"/>
  <c r="A4732" i="5"/>
  <c r="B4731" i="5"/>
  <c r="A4731" i="5"/>
  <c r="B4730" i="5"/>
  <c r="A4730" i="5"/>
  <c r="B4729" i="5"/>
  <c r="A4729" i="5"/>
  <c r="B4728" i="5"/>
  <c r="A4728" i="5"/>
  <c r="B4727" i="5"/>
  <c r="A4727" i="5"/>
  <c r="B4726" i="5"/>
  <c r="A4726" i="5"/>
  <c r="B4725" i="5"/>
  <c r="A4725" i="5"/>
  <c r="B4724" i="5"/>
  <c r="A4724" i="5"/>
  <c r="B4723" i="5"/>
  <c r="A4723" i="5"/>
  <c r="B4722" i="5"/>
  <c r="A4722" i="5"/>
  <c r="B4721" i="5"/>
  <c r="A4721" i="5"/>
  <c r="B4720" i="5"/>
  <c r="A4720" i="5"/>
  <c r="B4719" i="5"/>
  <c r="A4719" i="5"/>
  <c r="B4718" i="5"/>
  <c r="A4718" i="5"/>
  <c r="B4717" i="5"/>
  <c r="A4717" i="5"/>
  <c r="B4716" i="5"/>
  <c r="A4716" i="5"/>
  <c r="B4715" i="5"/>
  <c r="A4715" i="5"/>
  <c r="B4714" i="5"/>
  <c r="A4714" i="5"/>
  <c r="B4713" i="5"/>
  <c r="A4713" i="5"/>
  <c r="B4712" i="5"/>
  <c r="A4712" i="5"/>
  <c r="B4711" i="5"/>
  <c r="A4711" i="5"/>
  <c r="B4710" i="5"/>
  <c r="A4710" i="5"/>
  <c r="B4709" i="5"/>
  <c r="A4709" i="5"/>
  <c r="B4708" i="5"/>
  <c r="A4708" i="5"/>
  <c r="B4707" i="5"/>
  <c r="A4707" i="5"/>
  <c r="B4706" i="5"/>
  <c r="A4706" i="5"/>
  <c r="B4705" i="5"/>
  <c r="A4705" i="5"/>
  <c r="B4704" i="5"/>
  <c r="A4704" i="5"/>
  <c r="B4703" i="5"/>
  <c r="A4703" i="5"/>
  <c r="B4702" i="5"/>
  <c r="A4702" i="5"/>
  <c r="B4701" i="5"/>
  <c r="A4701" i="5"/>
  <c r="B4700" i="5"/>
  <c r="A4700" i="5"/>
  <c r="B4699" i="5"/>
  <c r="A4699" i="5"/>
  <c r="B4698" i="5"/>
  <c r="A4698" i="5"/>
  <c r="B4697" i="5"/>
  <c r="A4697" i="5"/>
  <c r="B4696" i="5"/>
  <c r="A4696" i="5"/>
  <c r="B4695" i="5"/>
  <c r="A4695" i="5"/>
  <c r="B4694" i="5"/>
  <c r="A4694" i="5"/>
  <c r="B4693" i="5"/>
  <c r="A4693" i="5"/>
  <c r="B4692" i="5"/>
  <c r="A4692" i="5"/>
  <c r="B4691" i="5"/>
  <c r="A4691" i="5"/>
  <c r="B4690" i="5"/>
  <c r="A4690" i="5"/>
  <c r="B4689" i="5"/>
  <c r="A4689" i="5"/>
  <c r="B4688" i="5"/>
  <c r="A4688" i="5"/>
  <c r="B4687" i="5"/>
  <c r="A4687" i="5"/>
  <c r="B4686" i="5"/>
  <c r="A4686" i="5"/>
  <c r="B4685" i="5"/>
  <c r="A4685" i="5"/>
  <c r="B4684" i="5"/>
  <c r="A4684" i="5"/>
  <c r="B4683" i="5"/>
  <c r="A4683" i="5"/>
  <c r="B4682" i="5"/>
  <c r="A4682" i="5"/>
  <c r="B4681" i="5"/>
  <c r="A4681" i="5"/>
  <c r="B4680" i="5"/>
  <c r="A4680" i="5"/>
  <c r="B4679" i="5"/>
  <c r="A4679" i="5"/>
  <c r="B4678" i="5"/>
  <c r="A4678" i="5"/>
  <c r="B4677" i="5"/>
  <c r="A4677" i="5"/>
  <c r="B4676" i="5"/>
  <c r="A4676" i="5"/>
  <c r="B4675" i="5"/>
  <c r="A4675" i="5"/>
  <c r="B4674" i="5"/>
  <c r="A4674" i="5"/>
  <c r="B4673" i="5"/>
  <c r="A4673" i="5"/>
  <c r="B4672" i="5"/>
  <c r="A4672" i="5"/>
  <c r="B4671" i="5"/>
  <c r="A4671" i="5"/>
  <c r="B4670" i="5"/>
  <c r="A4670" i="5"/>
  <c r="B4669" i="5"/>
  <c r="A4669" i="5"/>
  <c r="B4668" i="5"/>
  <c r="A4668" i="5"/>
  <c r="B4667" i="5"/>
  <c r="A4667" i="5"/>
  <c r="B4666" i="5"/>
  <c r="A4666" i="5"/>
  <c r="B4665" i="5"/>
  <c r="A4665" i="5"/>
  <c r="B4664" i="5"/>
  <c r="A4664" i="5"/>
  <c r="B4663" i="5"/>
  <c r="A4663" i="5"/>
  <c r="B4662" i="5"/>
  <c r="A4662" i="5"/>
  <c r="B4661" i="5"/>
  <c r="A4661" i="5"/>
  <c r="B4660" i="5"/>
  <c r="A4660" i="5"/>
  <c r="B4659" i="5"/>
  <c r="A4659" i="5"/>
  <c r="B4658" i="5"/>
  <c r="A4658" i="5"/>
  <c r="B4657" i="5"/>
  <c r="A4657" i="5"/>
  <c r="B4656" i="5"/>
  <c r="A4656" i="5"/>
  <c r="B4655" i="5"/>
  <c r="A4655" i="5"/>
  <c r="B4654" i="5"/>
  <c r="A4654" i="5"/>
  <c r="B4653" i="5"/>
  <c r="A4653" i="5"/>
  <c r="B4652" i="5"/>
  <c r="A4652" i="5"/>
  <c r="B4651" i="5"/>
  <c r="A4651" i="5"/>
  <c r="B4650" i="5"/>
  <c r="A4650" i="5"/>
  <c r="B4649" i="5"/>
  <c r="A4649" i="5"/>
  <c r="B4648" i="5"/>
  <c r="A4648" i="5"/>
  <c r="B4647" i="5"/>
  <c r="A4647" i="5"/>
  <c r="B4646" i="5"/>
  <c r="A4646" i="5"/>
  <c r="B4645" i="5"/>
  <c r="A4645" i="5"/>
  <c r="B4644" i="5"/>
  <c r="A4644" i="5"/>
  <c r="B4643" i="5"/>
  <c r="A4643" i="5"/>
  <c r="B4642" i="5"/>
  <c r="A4642" i="5"/>
  <c r="B4641" i="5"/>
  <c r="A4641" i="5"/>
  <c r="B4640" i="5"/>
  <c r="A4640" i="5"/>
  <c r="B4639" i="5"/>
  <c r="A4639" i="5"/>
  <c r="B4638" i="5"/>
  <c r="A4638" i="5"/>
  <c r="B4637" i="5"/>
  <c r="A4637" i="5"/>
  <c r="B4636" i="5"/>
  <c r="A4636" i="5"/>
  <c r="B4635" i="5"/>
  <c r="A4635" i="5"/>
  <c r="B4634" i="5"/>
  <c r="A4634" i="5"/>
  <c r="B4633" i="5"/>
  <c r="A4633" i="5"/>
  <c r="B4632" i="5"/>
  <c r="A4632" i="5"/>
  <c r="B4631" i="5"/>
  <c r="A4631" i="5"/>
  <c r="B4630" i="5"/>
  <c r="A4630" i="5"/>
  <c r="B4629" i="5"/>
  <c r="A4629" i="5"/>
  <c r="B4628" i="5"/>
  <c r="A4628" i="5"/>
  <c r="B4627" i="5"/>
  <c r="A4627" i="5"/>
  <c r="B4626" i="5"/>
  <c r="A4626" i="5"/>
  <c r="B4625" i="5"/>
  <c r="A4625" i="5"/>
  <c r="B4624" i="5"/>
  <c r="A4624" i="5"/>
  <c r="B4623" i="5"/>
  <c r="A4623" i="5"/>
  <c r="B4622" i="5"/>
  <c r="A4622" i="5"/>
  <c r="B4621" i="5"/>
  <c r="A4621" i="5"/>
  <c r="B4620" i="5"/>
  <c r="A4620" i="5"/>
  <c r="B4619" i="5"/>
  <c r="A4619" i="5"/>
  <c r="B4618" i="5"/>
  <c r="A4618" i="5"/>
  <c r="B4617" i="5"/>
  <c r="A4617" i="5"/>
  <c r="B4616" i="5"/>
  <c r="A4616" i="5"/>
  <c r="B4615" i="5"/>
  <c r="A4615" i="5"/>
  <c r="B4614" i="5"/>
  <c r="A4614" i="5"/>
  <c r="B4613" i="5"/>
  <c r="A4613" i="5"/>
  <c r="B4612" i="5"/>
  <c r="A4612" i="5"/>
  <c r="B4611" i="5"/>
  <c r="A4611" i="5"/>
  <c r="B4610" i="5"/>
  <c r="A4610" i="5"/>
  <c r="B4609" i="5"/>
  <c r="A4609" i="5"/>
  <c r="B4608" i="5"/>
  <c r="A4608" i="5"/>
  <c r="B4607" i="5"/>
  <c r="A4607" i="5"/>
  <c r="B4606" i="5"/>
  <c r="A4606" i="5"/>
  <c r="B4605" i="5"/>
  <c r="A4605" i="5"/>
  <c r="B4604" i="5"/>
  <c r="A4604" i="5"/>
  <c r="B4603" i="5"/>
  <c r="A4603" i="5"/>
  <c r="B4602" i="5"/>
  <c r="A4602" i="5"/>
  <c r="B4601" i="5"/>
  <c r="A4601" i="5"/>
  <c r="B4600" i="5"/>
  <c r="A4600" i="5"/>
  <c r="B4599" i="5"/>
  <c r="A4599" i="5"/>
  <c r="B4598" i="5"/>
  <c r="A4598" i="5"/>
  <c r="B4597" i="5"/>
  <c r="A4597" i="5"/>
  <c r="B4596" i="5"/>
  <c r="A4596" i="5"/>
  <c r="B4595" i="5"/>
  <c r="A4595" i="5"/>
  <c r="B4594" i="5"/>
  <c r="A4594" i="5"/>
  <c r="B4593" i="5"/>
  <c r="A4593" i="5"/>
  <c r="B4592" i="5"/>
  <c r="A4592" i="5"/>
  <c r="B4591" i="5"/>
  <c r="A4591" i="5"/>
  <c r="B4590" i="5"/>
  <c r="A4590" i="5"/>
  <c r="B4589" i="5"/>
  <c r="A4589" i="5"/>
  <c r="B4588" i="5"/>
  <c r="A4588" i="5"/>
  <c r="B4587" i="5"/>
  <c r="A4587" i="5"/>
  <c r="B4586" i="5"/>
  <c r="A4586" i="5"/>
  <c r="B4585" i="5"/>
  <c r="A4585" i="5"/>
  <c r="B4584" i="5"/>
  <c r="A4584" i="5"/>
  <c r="B4583" i="5"/>
  <c r="A4583" i="5"/>
  <c r="B4582" i="5"/>
  <c r="A4582" i="5"/>
  <c r="B4581" i="5"/>
  <c r="A4581" i="5"/>
  <c r="B4580" i="5"/>
  <c r="A4580" i="5"/>
  <c r="B4579" i="5"/>
  <c r="A4579" i="5"/>
  <c r="B4578" i="5"/>
  <c r="A4578" i="5"/>
  <c r="B4577" i="5"/>
  <c r="A4577" i="5"/>
  <c r="B4576" i="5"/>
  <c r="A4576" i="5"/>
  <c r="B4575" i="5"/>
  <c r="A4575" i="5"/>
  <c r="B4574" i="5"/>
  <c r="A4574" i="5"/>
  <c r="B4573" i="5"/>
  <c r="A4573" i="5"/>
  <c r="B4572" i="5"/>
  <c r="A4572" i="5"/>
  <c r="B4571" i="5"/>
  <c r="A4571" i="5"/>
  <c r="B4570" i="5"/>
  <c r="A4570" i="5"/>
  <c r="B4569" i="5"/>
  <c r="A4569" i="5"/>
  <c r="B4568" i="5"/>
  <c r="A4568" i="5"/>
  <c r="B4567" i="5"/>
  <c r="A4567" i="5"/>
  <c r="B4566" i="5"/>
  <c r="A4566" i="5"/>
  <c r="B4565" i="5"/>
  <c r="A4565" i="5"/>
  <c r="B4564" i="5"/>
  <c r="A4564" i="5"/>
  <c r="B4563" i="5"/>
  <c r="A4563" i="5"/>
  <c r="B4562" i="5"/>
  <c r="A4562" i="5"/>
  <c r="B4561" i="5"/>
  <c r="A4561" i="5"/>
  <c r="B4560" i="5"/>
  <c r="A4560" i="5"/>
  <c r="B4559" i="5"/>
  <c r="A4559" i="5"/>
  <c r="B4558" i="5"/>
  <c r="A4558" i="5"/>
  <c r="B4557" i="5"/>
  <c r="A4557" i="5"/>
  <c r="B4556" i="5"/>
  <c r="A4556" i="5"/>
  <c r="B4555" i="5"/>
  <c r="A4555" i="5"/>
  <c r="B4554" i="5"/>
  <c r="A4554" i="5"/>
  <c r="B4553" i="5"/>
  <c r="A4553" i="5"/>
  <c r="B4552" i="5"/>
  <c r="A4552" i="5"/>
  <c r="B4551" i="5"/>
  <c r="A4551" i="5"/>
  <c r="B4550" i="5"/>
  <c r="A4550" i="5"/>
  <c r="B4549" i="5"/>
  <c r="A4549" i="5"/>
  <c r="B4548" i="5"/>
  <c r="A4548" i="5"/>
  <c r="B4547" i="5"/>
  <c r="A4547" i="5"/>
  <c r="B4546" i="5"/>
  <c r="A4546" i="5"/>
  <c r="B4545" i="5"/>
  <c r="A4545" i="5"/>
  <c r="B4544" i="5"/>
  <c r="A4544" i="5"/>
  <c r="B4543" i="5"/>
  <c r="A4543" i="5"/>
  <c r="B4542" i="5"/>
  <c r="A4542" i="5"/>
  <c r="B4541" i="5"/>
  <c r="A4541" i="5"/>
  <c r="B4540" i="5"/>
  <c r="A4540" i="5"/>
  <c r="B4539" i="5"/>
  <c r="A4539" i="5"/>
  <c r="B4538" i="5"/>
  <c r="A4538" i="5"/>
  <c r="B4537" i="5"/>
  <c r="A4537" i="5"/>
  <c r="B4536" i="5"/>
  <c r="A4536" i="5"/>
  <c r="B4535" i="5"/>
  <c r="A4535" i="5"/>
  <c r="B4534" i="5"/>
  <c r="A4534" i="5"/>
  <c r="B4533" i="5"/>
  <c r="A4533" i="5"/>
  <c r="B4532" i="5"/>
  <c r="A4532" i="5"/>
  <c r="B4531" i="5"/>
  <c r="A4531" i="5"/>
  <c r="B4530" i="5"/>
  <c r="A4530" i="5"/>
  <c r="B4529" i="5"/>
  <c r="A4529" i="5"/>
  <c r="B4528" i="5"/>
  <c r="A4528" i="5"/>
  <c r="B4527" i="5"/>
  <c r="A4527" i="5"/>
  <c r="B4526" i="5"/>
  <c r="A4526" i="5"/>
  <c r="B4525" i="5"/>
  <c r="A4525" i="5"/>
  <c r="B4524" i="5"/>
  <c r="A4524" i="5"/>
  <c r="B4523" i="5"/>
  <c r="A4523" i="5"/>
  <c r="B4522" i="5"/>
  <c r="A4522" i="5"/>
  <c r="B4521" i="5"/>
  <c r="A4521" i="5"/>
  <c r="B4520" i="5"/>
  <c r="A4520" i="5"/>
  <c r="B4519" i="5"/>
  <c r="A4519" i="5"/>
  <c r="B4518" i="5"/>
  <c r="A4518" i="5"/>
  <c r="B4517" i="5"/>
  <c r="A4517" i="5"/>
  <c r="B4516" i="5"/>
  <c r="A4516" i="5"/>
  <c r="B4515" i="5"/>
  <c r="A4515" i="5"/>
  <c r="B4514" i="5"/>
  <c r="A4514" i="5"/>
  <c r="B4513" i="5"/>
  <c r="A4513" i="5"/>
  <c r="B4512" i="5"/>
  <c r="A4512" i="5"/>
  <c r="B4511" i="5"/>
  <c r="A4511" i="5"/>
  <c r="B4510" i="5"/>
  <c r="A4510" i="5"/>
  <c r="B4509" i="5"/>
  <c r="A4509" i="5"/>
  <c r="B4508" i="5"/>
  <c r="A4508" i="5"/>
  <c r="B4507" i="5"/>
  <c r="A4507" i="5"/>
  <c r="B4506" i="5"/>
  <c r="A4506" i="5"/>
  <c r="B4505" i="5"/>
  <c r="A4505" i="5"/>
  <c r="B4504" i="5"/>
  <c r="A4504" i="5"/>
  <c r="B4503" i="5"/>
  <c r="A4503" i="5"/>
  <c r="B4502" i="5"/>
  <c r="A4502" i="5"/>
  <c r="B4501" i="5"/>
  <c r="A4501" i="5"/>
  <c r="B4500" i="5"/>
  <c r="A4500" i="5"/>
  <c r="B4499" i="5"/>
  <c r="A4499" i="5"/>
  <c r="B4498" i="5"/>
  <c r="A4498" i="5"/>
  <c r="B4497" i="5"/>
  <c r="A4497" i="5"/>
  <c r="B4496" i="5"/>
  <c r="A4496" i="5"/>
  <c r="B4495" i="5"/>
  <c r="A4495" i="5"/>
  <c r="B4494" i="5"/>
  <c r="A4494" i="5"/>
  <c r="B4493" i="5"/>
  <c r="A4493" i="5"/>
  <c r="B4492" i="5"/>
  <c r="A4492" i="5"/>
  <c r="B4491" i="5"/>
  <c r="A4491" i="5"/>
  <c r="B4490" i="5"/>
  <c r="A4490" i="5"/>
  <c r="B4489" i="5"/>
  <c r="A4489" i="5"/>
  <c r="B4488" i="5"/>
  <c r="A4488" i="5"/>
  <c r="B4487" i="5"/>
  <c r="A4487" i="5"/>
  <c r="B4486" i="5"/>
  <c r="A4486" i="5"/>
  <c r="B4485" i="5"/>
  <c r="A4485" i="5"/>
  <c r="B4484" i="5"/>
  <c r="A4484" i="5"/>
  <c r="B4483" i="5"/>
  <c r="A4483" i="5"/>
  <c r="B4482" i="5"/>
  <c r="A4482" i="5"/>
  <c r="B4481" i="5"/>
  <c r="A4481" i="5"/>
  <c r="B4480" i="5"/>
  <c r="A4480" i="5"/>
  <c r="B4479" i="5"/>
  <c r="A4479" i="5"/>
  <c r="B4478" i="5"/>
  <c r="A4478" i="5"/>
  <c r="B4477" i="5"/>
  <c r="A4477" i="5"/>
  <c r="B4476" i="5"/>
  <c r="A4476" i="5"/>
  <c r="B4475" i="5"/>
  <c r="A4475" i="5"/>
  <c r="B4474" i="5"/>
  <c r="A4474" i="5"/>
  <c r="B4473" i="5"/>
  <c r="A4473" i="5"/>
  <c r="B4472" i="5"/>
  <c r="A4472" i="5"/>
  <c r="B4471" i="5"/>
  <c r="A4471" i="5"/>
  <c r="B4470" i="5"/>
  <c r="A4470" i="5"/>
  <c r="B4469" i="5"/>
  <c r="A4469" i="5"/>
  <c r="B4468" i="5"/>
  <c r="A4468" i="5"/>
  <c r="B4467" i="5"/>
  <c r="A4467" i="5"/>
  <c r="B4466" i="5"/>
  <c r="A4466" i="5"/>
  <c r="B4465" i="5"/>
  <c r="A4465" i="5"/>
  <c r="B4464" i="5"/>
  <c r="A4464" i="5"/>
  <c r="B4463" i="5"/>
  <c r="A4463" i="5"/>
  <c r="B4462" i="5"/>
  <c r="A4462" i="5"/>
  <c r="B4461" i="5"/>
  <c r="A4461" i="5"/>
  <c r="B4460" i="5"/>
  <c r="A4460" i="5"/>
  <c r="B4459" i="5"/>
  <c r="A4459" i="5"/>
  <c r="B4458" i="5"/>
  <c r="A4458" i="5"/>
  <c r="B4457" i="5"/>
  <c r="A4457" i="5"/>
  <c r="B4456" i="5"/>
  <c r="A4456" i="5"/>
  <c r="B4455" i="5"/>
  <c r="A4455" i="5"/>
  <c r="B4454" i="5"/>
  <c r="A4454" i="5"/>
  <c r="B4453" i="5"/>
  <c r="A4453" i="5"/>
  <c r="B4452" i="5"/>
  <c r="A4452" i="5"/>
  <c r="B4451" i="5"/>
  <c r="A4451" i="5"/>
  <c r="B4450" i="5"/>
  <c r="A4450" i="5"/>
  <c r="B4449" i="5"/>
  <c r="A4449" i="5"/>
  <c r="B4448" i="5"/>
  <c r="A4448" i="5"/>
  <c r="B4447" i="5"/>
  <c r="A4447" i="5"/>
  <c r="B4446" i="5"/>
  <c r="A4446" i="5"/>
  <c r="B4445" i="5"/>
  <c r="A4445" i="5"/>
  <c r="B4444" i="5"/>
  <c r="A4444" i="5"/>
  <c r="B4443" i="5"/>
  <c r="A4443" i="5"/>
  <c r="B4442" i="5"/>
  <c r="A4442" i="5"/>
  <c r="B4441" i="5"/>
  <c r="A4441" i="5"/>
  <c r="B4440" i="5"/>
  <c r="A4440" i="5"/>
  <c r="B4439" i="5"/>
  <c r="A4439" i="5"/>
  <c r="B4438" i="5"/>
  <c r="A4438" i="5"/>
  <c r="B4437" i="5"/>
  <c r="A4437" i="5"/>
  <c r="B4436" i="5"/>
  <c r="A4436" i="5"/>
  <c r="B4435" i="5"/>
  <c r="A4435" i="5"/>
  <c r="B4434" i="5"/>
  <c r="A4434" i="5"/>
  <c r="B4433" i="5"/>
  <c r="A4433" i="5"/>
  <c r="B4432" i="5"/>
  <c r="A4432" i="5"/>
  <c r="B4431" i="5"/>
  <c r="A4431" i="5"/>
  <c r="B4430" i="5"/>
  <c r="A4430" i="5"/>
  <c r="B4429" i="5"/>
  <c r="A4429" i="5"/>
  <c r="B4428" i="5"/>
  <c r="A4428" i="5"/>
  <c r="B4427" i="5"/>
  <c r="A4427" i="5"/>
  <c r="B4426" i="5"/>
  <c r="A4426" i="5"/>
  <c r="B4425" i="5"/>
  <c r="A4425" i="5"/>
  <c r="B4424" i="5"/>
  <c r="A4424" i="5"/>
  <c r="B4423" i="5"/>
  <c r="A4423" i="5"/>
  <c r="B4422" i="5"/>
  <c r="A4422" i="5"/>
  <c r="B4421" i="5"/>
  <c r="A4421" i="5"/>
  <c r="B4420" i="5"/>
  <c r="A4420" i="5"/>
  <c r="B4419" i="5"/>
  <c r="A4419" i="5"/>
  <c r="B4418" i="5"/>
  <c r="A4418" i="5"/>
  <c r="B4417" i="5"/>
  <c r="A4417" i="5"/>
  <c r="B4416" i="5"/>
  <c r="A4416" i="5"/>
  <c r="B4415" i="5"/>
  <c r="A4415" i="5"/>
  <c r="B4414" i="5"/>
  <c r="A4414" i="5"/>
  <c r="B4413" i="5"/>
  <c r="A4413" i="5"/>
  <c r="B4412" i="5"/>
  <c r="A4412" i="5"/>
  <c r="B4411" i="5"/>
  <c r="A4411" i="5"/>
  <c r="B4410" i="5"/>
  <c r="A4410" i="5"/>
  <c r="B4409" i="5"/>
  <c r="A4409" i="5"/>
  <c r="B4408" i="5"/>
  <c r="A4408" i="5"/>
  <c r="B4407" i="5"/>
  <c r="A4407" i="5"/>
  <c r="B4406" i="5"/>
  <c r="A4406" i="5"/>
  <c r="B4405" i="5"/>
  <c r="A4405" i="5"/>
  <c r="B4404" i="5"/>
  <c r="A4404" i="5"/>
  <c r="B4403" i="5"/>
  <c r="A4403" i="5"/>
  <c r="B4402" i="5"/>
  <c r="A4402" i="5"/>
  <c r="B4401" i="5"/>
  <c r="A4401" i="5"/>
  <c r="B4400" i="5"/>
  <c r="A4400" i="5"/>
  <c r="B4399" i="5"/>
  <c r="A4399" i="5"/>
  <c r="B4398" i="5"/>
  <c r="A4398" i="5"/>
  <c r="B4397" i="5"/>
  <c r="A4397" i="5"/>
  <c r="B4396" i="5"/>
  <c r="A4396" i="5"/>
  <c r="B4395" i="5"/>
  <c r="A4395" i="5"/>
  <c r="B4394" i="5"/>
  <c r="A4394" i="5"/>
  <c r="B4393" i="5"/>
  <c r="A4393" i="5"/>
  <c r="B4392" i="5"/>
  <c r="A4392" i="5"/>
  <c r="B4391" i="5"/>
  <c r="A4391" i="5"/>
  <c r="B4390" i="5"/>
  <c r="A4390" i="5"/>
  <c r="B4389" i="5"/>
  <c r="A4389" i="5"/>
  <c r="B4388" i="5"/>
  <c r="A4388" i="5"/>
  <c r="B4387" i="5"/>
  <c r="A4387" i="5"/>
  <c r="B4386" i="5"/>
  <c r="A4386" i="5"/>
  <c r="B4385" i="5"/>
  <c r="A4385" i="5"/>
  <c r="B4384" i="5"/>
  <c r="A4384" i="5"/>
  <c r="B4383" i="5"/>
  <c r="A4383" i="5"/>
  <c r="B4382" i="5"/>
  <c r="A4382" i="5"/>
  <c r="B4381" i="5"/>
  <c r="A4381" i="5"/>
  <c r="B4380" i="5"/>
  <c r="A4380" i="5"/>
  <c r="B4379" i="5"/>
  <c r="A4379" i="5"/>
  <c r="B4378" i="5"/>
  <c r="A4378" i="5"/>
  <c r="B4377" i="5"/>
  <c r="A4377" i="5"/>
  <c r="B4376" i="5"/>
  <c r="A4376" i="5"/>
  <c r="B4375" i="5"/>
  <c r="A4375" i="5"/>
  <c r="B4374" i="5"/>
  <c r="A4374" i="5"/>
  <c r="B4373" i="5"/>
  <c r="A4373" i="5"/>
  <c r="B4372" i="5"/>
  <c r="A4372" i="5"/>
  <c r="B4371" i="5"/>
  <c r="A4371" i="5"/>
  <c r="B4370" i="5"/>
  <c r="A4370" i="5"/>
  <c r="B4369" i="5"/>
  <c r="A4369" i="5"/>
  <c r="B4368" i="5"/>
  <c r="A4368" i="5"/>
  <c r="B4367" i="5"/>
  <c r="A4367" i="5"/>
  <c r="B4366" i="5"/>
  <c r="A4366" i="5"/>
  <c r="B4365" i="5"/>
  <c r="A4365" i="5"/>
  <c r="B4364" i="5"/>
  <c r="A4364" i="5"/>
  <c r="B4363" i="5"/>
  <c r="A4363" i="5"/>
  <c r="B4362" i="5"/>
  <c r="A4362" i="5"/>
  <c r="B4361" i="5"/>
  <c r="A4361" i="5"/>
  <c r="B4360" i="5"/>
  <c r="A4360" i="5"/>
  <c r="B4359" i="5"/>
  <c r="A4359" i="5"/>
  <c r="B4358" i="5"/>
  <c r="A4358" i="5"/>
  <c r="B4357" i="5"/>
  <c r="A4357" i="5"/>
  <c r="B4356" i="5"/>
  <c r="A4356" i="5"/>
  <c r="B4355" i="5"/>
  <c r="A4355" i="5"/>
  <c r="B4354" i="5"/>
  <c r="A4354" i="5"/>
  <c r="B4353" i="5"/>
  <c r="A4353" i="5"/>
  <c r="B4352" i="5"/>
  <c r="A4352" i="5"/>
  <c r="B4351" i="5"/>
  <c r="A4351" i="5"/>
  <c r="B4350" i="5"/>
  <c r="A4350" i="5"/>
  <c r="B4349" i="5"/>
  <c r="A4349" i="5"/>
  <c r="B4348" i="5"/>
  <c r="A4348" i="5"/>
  <c r="B4347" i="5"/>
  <c r="A4347" i="5"/>
  <c r="B4346" i="5"/>
  <c r="A4346" i="5"/>
  <c r="B4345" i="5"/>
  <c r="A4345" i="5"/>
  <c r="B4344" i="5"/>
  <c r="A4344" i="5"/>
  <c r="B4343" i="5"/>
  <c r="A4343" i="5"/>
  <c r="B4342" i="5"/>
  <c r="A4342" i="5"/>
  <c r="B4341" i="5"/>
  <c r="A4341" i="5"/>
  <c r="B4340" i="5"/>
  <c r="A4340" i="5"/>
  <c r="B4339" i="5"/>
  <c r="A4339" i="5"/>
  <c r="B4338" i="5"/>
  <c r="A4338" i="5"/>
  <c r="B4337" i="5"/>
  <c r="A4337" i="5"/>
  <c r="B4336" i="5"/>
  <c r="A4336" i="5"/>
  <c r="B4335" i="5"/>
  <c r="A4335" i="5"/>
  <c r="B4334" i="5"/>
  <c r="A4334" i="5"/>
  <c r="B4333" i="5"/>
  <c r="A4333" i="5"/>
  <c r="B4332" i="5"/>
  <c r="A4332" i="5"/>
  <c r="B4331" i="5"/>
  <c r="A4331" i="5"/>
  <c r="B4330" i="5"/>
  <c r="A4330" i="5"/>
  <c r="B4329" i="5"/>
  <c r="A4329" i="5"/>
  <c r="B4328" i="5"/>
  <c r="A4328" i="5"/>
  <c r="B4327" i="5"/>
  <c r="A4327" i="5"/>
  <c r="B4326" i="5"/>
  <c r="A4326" i="5"/>
  <c r="B4325" i="5"/>
  <c r="A4325" i="5"/>
  <c r="B4324" i="5"/>
  <c r="A4324" i="5"/>
  <c r="B4323" i="5"/>
  <c r="A4323" i="5"/>
  <c r="B4322" i="5"/>
  <c r="A4322" i="5"/>
  <c r="B4321" i="5"/>
  <c r="A4321" i="5"/>
  <c r="B4320" i="5"/>
  <c r="A4320" i="5"/>
  <c r="B4319" i="5"/>
  <c r="A4319" i="5"/>
  <c r="B4318" i="5"/>
  <c r="A4318" i="5"/>
  <c r="B4317" i="5"/>
  <c r="A4317" i="5"/>
  <c r="B4316" i="5"/>
  <c r="A4316" i="5"/>
  <c r="B4315" i="5"/>
  <c r="A4315" i="5"/>
  <c r="B4314" i="5"/>
  <c r="A4314" i="5"/>
  <c r="B4313" i="5"/>
  <c r="A4313" i="5"/>
  <c r="B4312" i="5"/>
  <c r="A4312" i="5"/>
  <c r="B4311" i="5"/>
  <c r="A4311" i="5"/>
  <c r="B4310" i="5"/>
  <c r="A4310" i="5"/>
  <c r="B4309" i="5"/>
  <c r="A4309" i="5"/>
  <c r="B4308" i="5"/>
  <c r="A4308" i="5"/>
  <c r="B4307" i="5"/>
  <c r="A4307" i="5"/>
  <c r="B4306" i="5"/>
  <c r="A4306" i="5"/>
  <c r="B4305" i="5"/>
  <c r="A4305" i="5"/>
  <c r="B4304" i="5"/>
  <c r="A4304" i="5"/>
  <c r="B4303" i="5"/>
  <c r="A4303" i="5"/>
  <c r="B4302" i="5"/>
  <c r="A4302" i="5"/>
  <c r="B4301" i="5"/>
  <c r="A4301" i="5"/>
  <c r="B4300" i="5"/>
  <c r="A4300" i="5"/>
  <c r="B4299" i="5"/>
  <c r="A4299" i="5"/>
  <c r="B4298" i="5"/>
  <c r="A4298" i="5"/>
  <c r="B4297" i="5"/>
  <c r="A4297" i="5"/>
  <c r="B4296" i="5"/>
  <c r="A4296" i="5"/>
  <c r="B4295" i="5"/>
  <c r="A4295" i="5"/>
  <c r="B4294" i="5"/>
  <c r="A4294" i="5"/>
  <c r="B4293" i="5"/>
  <c r="A4293" i="5"/>
  <c r="B4292" i="5"/>
  <c r="A4292" i="5"/>
  <c r="B4291" i="5"/>
  <c r="A4291" i="5"/>
  <c r="B4290" i="5"/>
  <c r="A4290" i="5"/>
  <c r="B4289" i="5"/>
  <c r="A4289" i="5"/>
  <c r="B4288" i="5"/>
  <c r="A4288" i="5"/>
  <c r="B4287" i="5"/>
  <c r="A4287" i="5"/>
  <c r="B4286" i="5"/>
  <c r="A4286" i="5"/>
  <c r="B4285" i="5"/>
  <c r="A4285" i="5"/>
  <c r="B4284" i="5"/>
  <c r="A4284" i="5"/>
  <c r="B4283" i="5"/>
  <c r="A4283" i="5"/>
  <c r="B4282" i="5"/>
  <c r="A4282" i="5"/>
  <c r="B4281" i="5"/>
  <c r="A4281" i="5"/>
  <c r="B4280" i="5"/>
  <c r="A4280" i="5"/>
  <c r="B4279" i="5"/>
  <c r="A4279" i="5"/>
  <c r="B4278" i="5"/>
  <c r="A4278" i="5"/>
  <c r="B4277" i="5"/>
  <c r="A4277" i="5"/>
  <c r="B4276" i="5"/>
  <c r="A4276" i="5"/>
  <c r="B4275" i="5"/>
  <c r="A4275" i="5"/>
  <c r="B4274" i="5"/>
  <c r="A4274" i="5"/>
  <c r="B4273" i="5"/>
  <c r="A4273" i="5"/>
  <c r="B4272" i="5"/>
  <c r="A4272" i="5"/>
  <c r="B4271" i="5"/>
  <c r="A4271" i="5"/>
  <c r="B4270" i="5"/>
  <c r="A4270" i="5"/>
  <c r="B4269" i="5"/>
  <c r="A4269" i="5"/>
  <c r="B4268" i="5"/>
  <c r="A4268" i="5"/>
  <c r="B4267" i="5"/>
  <c r="A4267" i="5"/>
  <c r="B4266" i="5"/>
  <c r="A4266" i="5"/>
  <c r="B4265" i="5"/>
  <c r="A4265" i="5"/>
  <c r="B4264" i="5"/>
  <c r="A4264" i="5"/>
  <c r="B4263" i="5"/>
  <c r="A4263" i="5"/>
  <c r="B4262" i="5"/>
  <c r="A4262" i="5"/>
  <c r="B4261" i="5"/>
  <c r="A4261" i="5"/>
  <c r="B4260" i="5"/>
  <c r="A4260" i="5"/>
  <c r="B4259" i="5"/>
  <c r="A4259" i="5"/>
  <c r="B4258" i="5"/>
  <c r="A4258" i="5"/>
  <c r="B4257" i="5"/>
  <c r="A4257" i="5"/>
  <c r="B4256" i="5"/>
  <c r="A4256" i="5"/>
  <c r="B4255" i="5"/>
  <c r="A4255" i="5"/>
  <c r="B4254" i="5"/>
  <c r="A4254" i="5"/>
  <c r="B4253" i="5"/>
  <c r="A4253" i="5"/>
  <c r="B4252" i="5"/>
  <c r="A4252" i="5"/>
  <c r="B4251" i="5"/>
  <c r="A4251" i="5"/>
  <c r="B4250" i="5"/>
  <c r="A4250" i="5"/>
  <c r="B4249" i="5"/>
  <c r="A4249" i="5"/>
  <c r="B4248" i="5"/>
  <c r="A4248" i="5"/>
  <c r="B4247" i="5"/>
  <c r="A4247" i="5"/>
  <c r="B4246" i="5"/>
  <c r="A4246" i="5"/>
  <c r="B4245" i="5"/>
  <c r="A4245" i="5"/>
  <c r="B4244" i="5"/>
  <c r="A4244" i="5"/>
  <c r="B4243" i="5"/>
  <c r="A4243" i="5"/>
  <c r="B4242" i="5"/>
  <c r="A4242" i="5"/>
  <c r="B4241" i="5"/>
  <c r="A4241" i="5"/>
  <c r="B4240" i="5"/>
  <c r="A4240" i="5"/>
  <c r="B4239" i="5"/>
  <c r="A4239" i="5"/>
  <c r="B4238" i="5"/>
  <c r="A4238" i="5"/>
  <c r="B4237" i="5"/>
  <c r="A4237" i="5"/>
  <c r="B4236" i="5"/>
  <c r="A4236" i="5"/>
  <c r="B4235" i="5"/>
  <c r="A4235" i="5"/>
  <c r="B4234" i="5"/>
  <c r="A4234" i="5"/>
  <c r="B4233" i="5"/>
  <c r="A4233" i="5"/>
  <c r="B4232" i="5"/>
  <c r="A4232" i="5"/>
  <c r="B4231" i="5"/>
  <c r="A4231" i="5"/>
  <c r="B4230" i="5"/>
  <c r="A4230" i="5"/>
  <c r="B4229" i="5"/>
  <c r="A4229" i="5"/>
  <c r="B4228" i="5"/>
  <c r="A4228" i="5"/>
  <c r="B4227" i="5"/>
  <c r="A4227" i="5"/>
  <c r="B4226" i="5"/>
  <c r="A4226" i="5"/>
  <c r="B4225" i="5"/>
  <c r="A4225" i="5"/>
  <c r="B4224" i="5"/>
  <c r="A4224" i="5"/>
  <c r="B4223" i="5"/>
  <c r="A4223" i="5"/>
  <c r="B4222" i="5"/>
  <c r="A4222" i="5"/>
  <c r="B4221" i="5"/>
  <c r="A4221" i="5"/>
  <c r="B4220" i="5"/>
  <c r="A4220" i="5"/>
  <c r="B4219" i="5"/>
  <c r="A4219" i="5"/>
  <c r="B4218" i="5"/>
  <c r="A4218" i="5"/>
  <c r="B4217" i="5"/>
  <c r="A4217" i="5"/>
  <c r="B4216" i="5"/>
  <c r="A4216" i="5"/>
  <c r="B4215" i="5"/>
  <c r="A4215" i="5"/>
  <c r="B4214" i="5"/>
  <c r="A4214" i="5"/>
  <c r="B4213" i="5"/>
  <c r="A4213" i="5"/>
  <c r="B4212" i="5"/>
  <c r="A4212" i="5"/>
  <c r="B4211" i="5"/>
  <c r="A4211" i="5"/>
  <c r="B4210" i="5"/>
  <c r="A4210" i="5"/>
  <c r="B4209" i="5"/>
  <c r="A4209" i="5"/>
  <c r="B4208" i="5"/>
  <c r="A4208" i="5"/>
  <c r="B4207" i="5"/>
  <c r="A4207" i="5"/>
  <c r="B4206" i="5"/>
  <c r="A4206" i="5"/>
  <c r="B4205" i="5"/>
  <c r="A4205" i="5"/>
  <c r="B4204" i="5"/>
  <c r="A4204" i="5"/>
  <c r="B4203" i="5"/>
  <c r="A4203" i="5"/>
  <c r="B4202" i="5"/>
  <c r="A4202" i="5"/>
  <c r="B4201" i="5"/>
  <c r="A4201" i="5"/>
  <c r="B4200" i="5"/>
  <c r="A4200" i="5"/>
  <c r="B4199" i="5"/>
  <c r="A4199" i="5"/>
  <c r="B4198" i="5"/>
  <c r="A4198" i="5"/>
  <c r="B4197" i="5"/>
  <c r="A4197" i="5"/>
  <c r="B4196" i="5"/>
  <c r="A4196" i="5"/>
  <c r="B4195" i="5"/>
  <c r="A4195" i="5"/>
  <c r="B4194" i="5"/>
  <c r="A4194" i="5"/>
  <c r="B4193" i="5"/>
  <c r="A4193" i="5"/>
  <c r="B4192" i="5"/>
  <c r="A4192" i="5"/>
  <c r="B4191" i="5"/>
  <c r="A4191" i="5"/>
  <c r="B4190" i="5"/>
  <c r="A4190" i="5"/>
  <c r="B4189" i="5"/>
  <c r="A4189" i="5"/>
  <c r="B4188" i="5"/>
  <c r="A4188" i="5"/>
  <c r="B4187" i="5"/>
  <c r="A4187" i="5"/>
  <c r="B4186" i="5"/>
  <c r="A4186" i="5"/>
  <c r="B4185" i="5"/>
  <c r="A4185" i="5"/>
  <c r="B4184" i="5"/>
  <c r="A4184" i="5"/>
  <c r="B4183" i="5"/>
  <c r="A4183" i="5"/>
  <c r="B4182" i="5"/>
  <c r="A4182" i="5"/>
  <c r="B4181" i="5"/>
  <c r="A4181" i="5"/>
  <c r="B4180" i="5"/>
  <c r="A4180" i="5"/>
  <c r="B4179" i="5"/>
  <c r="A4179" i="5"/>
  <c r="B4178" i="5"/>
  <c r="A4178" i="5"/>
  <c r="B4177" i="5"/>
  <c r="A4177" i="5"/>
  <c r="B4176" i="5"/>
  <c r="A4176" i="5"/>
  <c r="B4175" i="5"/>
  <c r="A4175" i="5"/>
  <c r="B4174" i="5"/>
  <c r="A4174" i="5"/>
  <c r="B4173" i="5"/>
  <c r="A4173" i="5"/>
  <c r="B4172" i="5"/>
  <c r="A4172" i="5"/>
  <c r="B4171" i="5"/>
  <c r="A4171" i="5"/>
  <c r="B4170" i="5"/>
  <c r="A4170" i="5"/>
  <c r="B4169" i="5"/>
  <c r="A4169" i="5"/>
  <c r="B4168" i="5"/>
  <c r="A4168" i="5"/>
  <c r="B4167" i="5"/>
  <c r="A4167" i="5"/>
  <c r="B4166" i="5"/>
  <c r="A4166" i="5"/>
  <c r="B4165" i="5"/>
  <c r="A4165" i="5"/>
  <c r="B4164" i="5"/>
  <c r="A4164" i="5"/>
  <c r="B4163" i="5"/>
  <c r="A4163" i="5"/>
  <c r="B4162" i="5"/>
  <c r="A4162" i="5"/>
  <c r="B4161" i="5"/>
  <c r="A4161" i="5"/>
  <c r="B4160" i="5"/>
  <c r="A4160" i="5"/>
  <c r="B4159" i="5"/>
  <c r="A4159" i="5"/>
  <c r="B4158" i="5"/>
  <c r="A4158" i="5"/>
  <c r="B4157" i="5"/>
  <c r="A4157" i="5"/>
  <c r="B4156" i="5"/>
  <c r="A4156" i="5"/>
  <c r="B4155" i="5"/>
  <c r="A4155" i="5"/>
  <c r="B4154" i="5"/>
  <c r="A4154" i="5"/>
  <c r="B4153" i="5"/>
  <c r="A4153" i="5"/>
  <c r="B4152" i="5"/>
  <c r="A4152" i="5"/>
  <c r="B4151" i="5"/>
  <c r="A4151" i="5"/>
  <c r="B4150" i="5"/>
  <c r="A4150" i="5"/>
  <c r="B4149" i="5"/>
  <c r="A4149" i="5"/>
  <c r="B4148" i="5"/>
  <c r="A4148" i="5"/>
  <c r="B4147" i="5"/>
  <c r="A4147" i="5"/>
  <c r="B4146" i="5"/>
  <c r="A4146" i="5"/>
  <c r="B4145" i="5"/>
  <c r="A4145" i="5"/>
  <c r="B4144" i="5"/>
  <c r="A4144" i="5"/>
  <c r="B4143" i="5"/>
  <c r="A4143" i="5"/>
  <c r="B4142" i="5"/>
  <c r="A4142" i="5"/>
  <c r="B4141" i="5"/>
  <c r="A4141" i="5"/>
  <c r="B4140" i="5"/>
  <c r="A4140" i="5"/>
  <c r="B4139" i="5"/>
  <c r="A4139" i="5"/>
  <c r="B4138" i="5"/>
  <c r="A4138" i="5"/>
  <c r="B4137" i="5"/>
  <c r="A4137" i="5"/>
  <c r="B4136" i="5"/>
  <c r="A4136" i="5"/>
  <c r="B4135" i="5"/>
  <c r="A4135" i="5"/>
  <c r="B4134" i="5"/>
  <c r="A4134" i="5"/>
  <c r="B4133" i="5"/>
  <c r="A4133" i="5"/>
  <c r="B4132" i="5"/>
  <c r="A4132" i="5"/>
  <c r="B4131" i="5"/>
  <c r="A4131" i="5"/>
  <c r="B4130" i="5"/>
  <c r="A4130" i="5"/>
  <c r="B4129" i="5"/>
  <c r="A4129" i="5"/>
  <c r="B4128" i="5"/>
  <c r="A4128" i="5"/>
  <c r="B4127" i="5"/>
  <c r="A4127" i="5"/>
  <c r="B4126" i="5"/>
  <c r="A4126" i="5"/>
  <c r="B4125" i="5"/>
  <c r="A4125" i="5"/>
  <c r="B4124" i="5"/>
  <c r="A4124" i="5"/>
  <c r="B4123" i="5"/>
  <c r="A4123" i="5"/>
  <c r="B4122" i="5"/>
  <c r="A4122" i="5"/>
  <c r="B4121" i="5"/>
  <c r="A4121" i="5"/>
  <c r="B4120" i="5"/>
  <c r="A4120" i="5"/>
  <c r="B4119" i="5"/>
  <c r="A4119" i="5"/>
  <c r="B4118" i="5"/>
  <c r="A4118" i="5"/>
  <c r="B4117" i="5"/>
  <c r="A4117" i="5"/>
  <c r="B4116" i="5"/>
  <c r="A4116" i="5"/>
  <c r="B4115" i="5"/>
  <c r="A4115" i="5"/>
  <c r="B4114" i="5"/>
  <c r="A4114" i="5"/>
  <c r="B4113" i="5"/>
  <c r="A4113" i="5"/>
  <c r="B4112" i="5"/>
  <c r="A4112" i="5"/>
  <c r="B4111" i="5"/>
  <c r="A4111" i="5"/>
  <c r="B4110" i="5"/>
  <c r="A4110" i="5"/>
  <c r="B4109" i="5"/>
  <c r="A4109" i="5"/>
  <c r="B4108" i="5"/>
  <c r="A4108" i="5"/>
  <c r="B4107" i="5"/>
  <c r="A4107" i="5"/>
  <c r="B4106" i="5"/>
  <c r="A4106" i="5"/>
  <c r="B4105" i="5"/>
  <c r="A4105" i="5"/>
  <c r="B4104" i="5"/>
  <c r="A4104" i="5"/>
  <c r="B4103" i="5"/>
  <c r="A4103" i="5"/>
  <c r="B4102" i="5"/>
  <c r="A4102" i="5"/>
  <c r="B4101" i="5"/>
  <c r="A4101" i="5"/>
  <c r="B4100" i="5"/>
  <c r="A4100" i="5"/>
  <c r="B4099" i="5"/>
  <c r="A4099" i="5"/>
  <c r="B4098" i="5"/>
  <c r="A4098" i="5"/>
  <c r="B4097" i="5"/>
  <c r="A4097" i="5"/>
  <c r="B4096" i="5"/>
  <c r="A4096" i="5"/>
  <c r="B4095" i="5"/>
  <c r="A4095" i="5"/>
  <c r="B4094" i="5"/>
  <c r="A4094" i="5"/>
  <c r="B4093" i="5"/>
  <c r="A4093" i="5"/>
  <c r="B4092" i="5"/>
  <c r="A4092" i="5"/>
  <c r="B4091" i="5"/>
  <c r="A4091" i="5"/>
  <c r="B4090" i="5"/>
  <c r="A4090" i="5"/>
  <c r="B4089" i="5"/>
  <c r="A4089" i="5"/>
  <c r="B4088" i="5"/>
  <c r="A4088" i="5"/>
  <c r="B4087" i="5"/>
  <c r="A4087" i="5"/>
  <c r="B4086" i="5"/>
  <c r="A4086" i="5"/>
  <c r="B4085" i="5"/>
  <c r="A4085" i="5"/>
  <c r="B4084" i="5"/>
  <c r="A4084" i="5"/>
  <c r="B4083" i="5"/>
  <c r="A4083" i="5"/>
  <c r="B4082" i="5"/>
  <c r="A4082" i="5"/>
  <c r="B4081" i="5"/>
  <c r="A4081" i="5"/>
  <c r="B4080" i="5"/>
  <c r="A4080" i="5"/>
  <c r="B4079" i="5"/>
  <c r="A4079" i="5"/>
  <c r="B4078" i="5"/>
  <c r="A4078" i="5"/>
  <c r="B4077" i="5"/>
  <c r="A4077" i="5"/>
  <c r="B4076" i="5"/>
  <c r="A4076" i="5"/>
  <c r="B4075" i="5"/>
  <c r="A4075" i="5"/>
  <c r="B4074" i="5"/>
  <c r="A4074" i="5"/>
  <c r="B4073" i="5"/>
  <c r="A4073" i="5"/>
  <c r="B4072" i="5"/>
  <c r="A4072" i="5"/>
  <c r="B4071" i="5"/>
  <c r="A4071" i="5"/>
  <c r="B4070" i="5"/>
  <c r="A4070" i="5"/>
  <c r="B4069" i="5"/>
  <c r="A4069" i="5"/>
  <c r="B4068" i="5"/>
  <c r="A4068" i="5"/>
  <c r="B4067" i="5"/>
  <c r="A4067" i="5"/>
  <c r="B4066" i="5"/>
  <c r="A4066" i="5"/>
  <c r="B4065" i="5"/>
  <c r="A4065" i="5"/>
  <c r="B4064" i="5"/>
  <c r="A4064" i="5"/>
  <c r="B4063" i="5"/>
  <c r="A4063" i="5"/>
  <c r="B4062" i="5"/>
  <c r="A4062" i="5"/>
  <c r="B4061" i="5"/>
  <c r="A4061" i="5"/>
  <c r="B4060" i="5"/>
  <c r="A4060" i="5"/>
  <c r="B4059" i="5"/>
  <c r="A4059" i="5"/>
  <c r="B4058" i="5"/>
  <c r="A4058" i="5"/>
  <c r="B4057" i="5"/>
  <c r="A4057" i="5"/>
  <c r="B4056" i="5"/>
  <c r="A4056" i="5"/>
  <c r="B4055" i="5"/>
  <c r="A4055" i="5"/>
  <c r="B4054" i="5"/>
  <c r="A4054" i="5"/>
  <c r="B4053" i="5"/>
  <c r="A4053" i="5"/>
  <c r="B4052" i="5"/>
  <c r="A4052" i="5"/>
  <c r="B4051" i="5"/>
  <c r="A4051" i="5"/>
  <c r="B4050" i="5"/>
  <c r="A4050" i="5"/>
  <c r="B4049" i="5"/>
  <c r="A4049" i="5"/>
  <c r="B4048" i="5"/>
  <c r="A4048" i="5"/>
  <c r="B4047" i="5"/>
  <c r="A4047" i="5"/>
  <c r="B4046" i="5"/>
  <c r="A4046" i="5"/>
  <c r="B4045" i="5"/>
  <c r="A4045" i="5"/>
  <c r="B4044" i="5"/>
  <c r="A4044" i="5"/>
  <c r="B4043" i="5"/>
  <c r="A4043" i="5"/>
  <c r="B4042" i="5"/>
  <c r="A4042" i="5"/>
  <c r="B4041" i="5"/>
  <c r="A4041" i="5"/>
  <c r="B4040" i="5"/>
  <c r="A4040" i="5"/>
  <c r="B4039" i="5"/>
  <c r="A4039" i="5"/>
  <c r="B4038" i="5"/>
  <c r="A4038" i="5"/>
  <c r="B4037" i="5"/>
  <c r="A4037" i="5"/>
  <c r="B4036" i="5"/>
  <c r="A4036" i="5"/>
  <c r="B4035" i="5"/>
  <c r="A4035" i="5"/>
  <c r="B4034" i="5"/>
  <c r="A4034" i="5"/>
  <c r="B4033" i="5"/>
  <c r="A4033" i="5"/>
  <c r="B4032" i="5"/>
  <c r="A4032" i="5"/>
  <c r="B4031" i="5"/>
  <c r="A4031" i="5"/>
  <c r="B4030" i="5"/>
  <c r="A4030" i="5"/>
  <c r="B4029" i="5"/>
  <c r="A4029" i="5"/>
  <c r="B4028" i="5"/>
  <c r="A4028" i="5"/>
  <c r="B4027" i="5"/>
  <c r="A4027" i="5"/>
  <c r="B4026" i="5"/>
  <c r="A4026" i="5"/>
  <c r="B4025" i="5"/>
  <c r="A4025" i="5"/>
  <c r="B4024" i="5"/>
  <c r="A4024" i="5"/>
  <c r="B4023" i="5"/>
  <c r="A4023" i="5"/>
  <c r="B4022" i="5"/>
  <c r="A4022" i="5"/>
  <c r="B4021" i="5"/>
  <c r="A4021" i="5"/>
  <c r="B4020" i="5"/>
  <c r="A4020" i="5"/>
  <c r="B4019" i="5"/>
  <c r="A4019" i="5"/>
  <c r="B4018" i="5"/>
  <c r="A4018" i="5"/>
  <c r="B4017" i="5"/>
  <c r="A4017" i="5"/>
  <c r="B4016" i="5"/>
  <c r="A4016" i="5"/>
  <c r="B4015" i="5"/>
  <c r="A4015" i="5"/>
  <c r="B4014" i="5"/>
  <c r="A4014" i="5"/>
  <c r="B4013" i="5"/>
  <c r="A4013" i="5"/>
  <c r="B4012" i="5"/>
  <c r="A4012" i="5"/>
  <c r="B4011" i="5"/>
  <c r="A4011" i="5"/>
  <c r="B4010" i="5"/>
  <c r="A4010" i="5"/>
  <c r="B4009" i="5"/>
  <c r="A4009" i="5"/>
  <c r="B4008" i="5"/>
  <c r="A4008" i="5"/>
  <c r="B4007" i="5"/>
  <c r="A4007" i="5"/>
  <c r="B4006" i="5"/>
  <c r="A4006" i="5"/>
  <c r="B4005" i="5"/>
  <c r="A4005" i="5"/>
  <c r="B4004" i="5"/>
  <c r="A4004" i="5"/>
  <c r="B4003" i="5"/>
  <c r="A4003" i="5"/>
  <c r="B4002" i="5"/>
  <c r="A4002" i="5"/>
  <c r="B4001" i="5"/>
  <c r="A4001" i="5"/>
  <c r="B4000" i="5"/>
  <c r="A4000" i="5"/>
  <c r="B3999" i="5"/>
  <c r="A3999" i="5"/>
  <c r="B3998" i="5"/>
  <c r="A3998" i="5"/>
  <c r="B3997" i="5"/>
  <c r="A3997" i="5"/>
  <c r="B3996" i="5"/>
  <c r="A3996" i="5"/>
  <c r="B3995" i="5"/>
  <c r="A3995" i="5"/>
  <c r="B3994" i="5"/>
  <c r="A3994" i="5"/>
  <c r="B3993" i="5"/>
  <c r="A3993" i="5"/>
  <c r="B3992" i="5"/>
  <c r="A3992" i="5"/>
  <c r="B3991" i="5"/>
  <c r="A3991" i="5"/>
  <c r="B3990" i="5"/>
  <c r="A3990" i="5"/>
  <c r="B3989" i="5"/>
  <c r="A3989" i="5"/>
  <c r="B3988" i="5"/>
  <c r="A3988" i="5"/>
  <c r="B3987" i="5"/>
  <c r="A3987" i="5"/>
  <c r="B3986" i="5"/>
  <c r="A3986" i="5"/>
  <c r="B3985" i="5"/>
  <c r="A3985" i="5"/>
  <c r="B3984" i="5"/>
  <c r="A3984" i="5"/>
  <c r="B3983" i="5"/>
  <c r="A3983" i="5"/>
  <c r="B3982" i="5"/>
  <c r="A3982" i="5"/>
  <c r="B3981" i="5"/>
  <c r="A3981" i="5"/>
  <c r="B3980" i="5"/>
  <c r="A3980" i="5"/>
  <c r="B3979" i="5"/>
  <c r="A3979" i="5"/>
  <c r="B3978" i="5"/>
  <c r="A3978" i="5"/>
  <c r="B3977" i="5"/>
  <c r="A3977" i="5"/>
  <c r="B3976" i="5"/>
  <c r="A3976" i="5"/>
  <c r="B3975" i="5"/>
  <c r="A3975" i="5"/>
  <c r="B3974" i="5"/>
  <c r="A3974" i="5"/>
  <c r="B3973" i="5"/>
  <c r="A3973" i="5"/>
  <c r="B3972" i="5"/>
  <c r="A3972" i="5"/>
  <c r="B3971" i="5"/>
  <c r="A3971" i="5"/>
  <c r="B3970" i="5"/>
  <c r="A3970" i="5"/>
  <c r="B3969" i="5"/>
  <c r="A3969" i="5"/>
  <c r="B3968" i="5"/>
  <c r="A3968" i="5"/>
  <c r="B3967" i="5"/>
  <c r="A3967" i="5"/>
  <c r="B3966" i="5"/>
  <c r="A3966" i="5"/>
  <c r="B3965" i="5"/>
  <c r="A3965" i="5"/>
  <c r="B3964" i="5"/>
  <c r="A3964" i="5"/>
  <c r="B3963" i="5"/>
  <c r="A3963" i="5"/>
  <c r="B3962" i="5"/>
  <c r="A3962" i="5"/>
  <c r="B3961" i="5"/>
  <c r="A3961" i="5"/>
  <c r="B3960" i="5"/>
  <c r="A3960" i="5"/>
  <c r="B3959" i="5"/>
  <c r="A3959" i="5"/>
  <c r="B3958" i="5"/>
  <c r="A3958" i="5"/>
  <c r="B3957" i="5"/>
  <c r="A3957" i="5"/>
  <c r="B3956" i="5"/>
  <c r="A3956" i="5"/>
  <c r="B3955" i="5"/>
  <c r="A3955" i="5"/>
  <c r="B3954" i="5"/>
  <c r="A3954" i="5"/>
  <c r="B3953" i="5"/>
  <c r="A3953" i="5"/>
  <c r="B3952" i="5"/>
  <c r="A3952" i="5"/>
  <c r="B3951" i="5"/>
  <c r="A3951" i="5"/>
  <c r="B3950" i="5"/>
  <c r="A3950" i="5"/>
  <c r="B3949" i="5"/>
  <c r="A3949" i="5"/>
  <c r="B3948" i="5"/>
  <c r="A3948" i="5"/>
  <c r="B3947" i="5"/>
  <c r="A3947" i="5"/>
  <c r="B3946" i="5"/>
  <c r="A3946" i="5"/>
  <c r="B3945" i="5"/>
  <c r="A3945" i="5"/>
  <c r="B3944" i="5"/>
  <c r="A3944" i="5"/>
  <c r="B3943" i="5"/>
  <c r="A3943" i="5"/>
  <c r="B3942" i="5"/>
  <c r="A3942" i="5"/>
  <c r="B3941" i="5"/>
  <c r="A3941" i="5"/>
  <c r="B3940" i="5"/>
  <c r="A3940" i="5"/>
  <c r="B3939" i="5"/>
  <c r="A3939" i="5"/>
  <c r="B3938" i="5"/>
  <c r="A3938" i="5"/>
  <c r="B3937" i="5"/>
  <c r="A3937" i="5"/>
  <c r="B3936" i="5"/>
  <c r="A3936" i="5"/>
  <c r="B3935" i="5"/>
  <c r="A3935" i="5"/>
  <c r="B3934" i="5"/>
  <c r="A3934" i="5"/>
  <c r="B3933" i="5"/>
  <c r="A3933" i="5"/>
  <c r="B3932" i="5"/>
  <c r="A3932" i="5"/>
  <c r="B3931" i="5"/>
  <c r="A3931" i="5"/>
  <c r="B3930" i="5"/>
  <c r="A3930" i="5"/>
  <c r="B3929" i="5"/>
  <c r="A3929" i="5"/>
  <c r="B3928" i="5"/>
  <c r="A3928" i="5"/>
  <c r="B3927" i="5"/>
  <c r="A3927" i="5"/>
  <c r="B3926" i="5"/>
  <c r="A3926" i="5"/>
  <c r="B3925" i="5"/>
  <c r="A3925" i="5"/>
  <c r="B3924" i="5"/>
  <c r="A3924" i="5"/>
  <c r="B3923" i="5"/>
  <c r="A3923" i="5"/>
  <c r="B3922" i="5"/>
  <c r="A3922" i="5"/>
  <c r="B3921" i="5"/>
  <c r="A3921" i="5"/>
  <c r="B3920" i="5"/>
  <c r="A3920" i="5"/>
  <c r="B3919" i="5"/>
  <c r="A3919" i="5"/>
  <c r="B3918" i="5"/>
  <c r="A3918" i="5"/>
  <c r="B3917" i="5"/>
  <c r="A3917" i="5"/>
  <c r="B3916" i="5"/>
  <c r="A3916" i="5"/>
  <c r="B3915" i="5"/>
  <c r="A3915" i="5"/>
  <c r="B3914" i="5"/>
  <c r="A3914" i="5"/>
  <c r="B3913" i="5"/>
  <c r="A3913" i="5"/>
  <c r="B3912" i="5"/>
  <c r="A3912" i="5"/>
  <c r="B3911" i="5"/>
  <c r="A3911" i="5"/>
  <c r="B3910" i="5"/>
  <c r="A3910" i="5"/>
  <c r="B3909" i="5"/>
  <c r="A3909" i="5"/>
  <c r="B3908" i="5"/>
  <c r="A3908" i="5"/>
  <c r="B3907" i="5"/>
  <c r="A3907" i="5"/>
  <c r="B3906" i="5"/>
  <c r="A3906" i="5"/>
  <c r="B3905" i="5"/>
  <c r="A3905" i="5"/>
  <c r="B3904" i="5"/>
  <c r="A3904" i="5"/>
  <c r="B3903" i="5"/>
  <c r="A3903" i="5"/>
  <c r="B3902" i="5"/>
  <c r="A3902" i="5"/>
  <c r="B3901" i="5"/>
  <c r="A3901" i="5"/>
  <c r="B3900" i="5"/>
  <c r="A3900" i="5"/>
  <c r="B3899" i="5"/>
  <c r="A3899" i="5"/>
  <c r="B3898" i="5"/>
  <c r="A3898" i="5"/>
  <c r="B3897" i="5"/>
  <c r="A3897" i="5"/>
  <c r="B3896" i="5"/>
  <c r="A3896" i="5"/>
  <c r="B3895" i="5"/>
  <c r="A3895" i="5"/>
  <c r="B3894" i="5"/>
  <c r="A3894" i="5"/>
  <c r="B3893" i="5"/>
  <c r="A3893" i="5"/>
  <c r="B3892" i="5"/>
  <c r="A3892" i="5"/>
  <c r="B3891" i="5"/>
  <c r="A3891" i="5"/>
  <c r="B3890" i="5"/>
  <c r="A3890" i="5"/>
  <c r="B3889" i="5"/>
  <c r="A3889" i="5"/>
  <c r="B3888" i="5"/>
  <c r="A3888" i="5"/>
  <c r="B3887" i="5"/>
  <c r="A3887" i="5"/>
  <c r="B3886" i="5"/>
  <c r="A3886" i="5"/>
  <c r="B3885" i="5"/>
  <c r="A3885" i="5"/>
  <c r="B3884" i="5"/>
  <c r="A3884" i="5"/>
  <c r="B3883" i="5"/>
  <c r="A3883" i="5"/>
  <c r="B3882" i="5"/>
  <c r="A3882" i="5"/>
  <c r="B3881" i="5"/>
  <c r="A3881" i="5"/>
  <c r="B3880" i="5"/>
  <c r="A3880" i="5"/>
  <c r="B3879" i="5"/>
  <c r="A3879" i="5"/>
  <c r="B3878" i="5"/>
  <c r="A3878" i="5"/>
  <c r="B3877" i="5"/>
  <c r="A3877" i="5"/>
  <c r="B3876" i="5"/>
  <c r="A3876" i="5"/>
  <c r="B3875" i="5"/>
  <c r="A3875" i="5"/>
  <c r="B3874" i="5"/>
  <c r="A3874" i="5"/>
  <c r="B3873" i="5"/>
  <c r="A3873" i="5"/>
  <c r="B3872" i="5"/>
  <c r="A3872" i="5"/>
  <c r="B3871" i="5"/>
  <c r="A3871" i="5"/>
  <c r="B3870" i="5"/>
  <c r="A3870" i="5"/>
  <c r="B3869" i="5"/>
  <c r="A3869" i="5"/>
  <c r="B3868" i="5"/>
  <c r="A3868" i="5"/>
  <c r="B3867" i="5"/>
  <c r="A3867" i="5"/>
  <c r="B3866" i="5"/>
  <c r="A3866" i="5"/>
  <c r="B3865" i="5"/>
  <c r="A3865" i="5"/>
  <c r="B3864" i="5"/>
  <c r="A3864" i="5"/>
  <c r="B3863" i="5"/>
  <c r="A3863" i="5"/>
  <c r="B3862" i="5"/>
  <c r="A3862" i="5"/>
  <c r="B3861" i="5"/>
  <c r="A3861" i="5"/>
  <c r="B3860" i="5"/>
  <c r="A3860" i="5"/>
  <c r="B3859" i="5"/>
  <c r="A3859" i="5"/>
  <c r="B3858" i="5"/>
  <c r="A3858" i="5"/>
  <c r="B3857" i="5"/>
  <c r="A3857" i="5"/>
  <c r="B3856" i="5"/>
  <c r="A3856" i="5"/>
  <c r="B3855" i="5"/>
  <c r="A3855" i="5"/>
  <c r="B3854" i="5"/>
  <c r="A3854" i="5"/>
  <c r="B3853" i="5"/>
  <c r="A3853" i="5"/>
  <c r="B3852" i="5"/>
  <c r="A3852" i="5"/>
  <c r="B3851" i="5"/>
  <c r="A3851" i="5"/>
  <c r="B3850" i="5"/>
  <c r="A3850" i="5"/>
  <c r="B3849" i="5"/>
  <c r="A3849" i="5"/>
  <c r="B3848" i="5"/>
  <c r="A3848" i="5"/>
  <c r="B3847" i="5"/>
  <c r="A3847" i="5"/>
  <c r="B3846" i="5"/>
  <c r="A3846" i="5"/>
  <c r="B3845" i="5"/>
  <c r="A3845" i="5"/>
  <c r="B3844" i="5"/>
  <c r="A3844" i="5"/>
  <c r="B3843" i="5"/>
  <c r="A3843" i="5"/>
  <c r="B3842" i="5"/>
  <c r="A3842" i="5"/>
  <c r="B3841" i="5"/>
  <c r="A3841" i="5"/>
  <c r="B3840" i="5"/>
  <c r="A3840" i="5"/>
  <c r="B3839" i="5"/>
  <c r="A3839" i="5"/>
  <c r="B3838" i="5"/>
  <c r="A3838" i="5"/>
  <c r="B3837" i="5"/>
  <c r="A3837" i="5"/>
  <c r="B3836" i="5"/>
  <c r="A3836" i="5"/>
  <c r="B3835" i="5"/>
  <c r="A3835" i="5"/>
  <c r="B3834" i="5"/>
  <c r="A3834" i="5"/>
  <c r="B3833" i="5"/>
  <c r="A3833" i="5"/>
  <c r="B3832" i="5"/>
  <c r="A3832" i="5"/>
  <c r="B3831" i="5"/>
  <c r="A3831" i="5"/>
  <c r="B3830" i="5"/>
  <c r="A3830" i="5"/>
  <c r="B3829" i="5"/>
  <c r="A3829" i="5"/>
  <c r="B3828" i="5"/>
  <c r="A3828" i="5"/>
  <c r="B3827" i="5"/>
  <c r="A3827" i="5"/>
  <c r="B3826" i="5"/>
  <c r="A3826" i="5"/>
  <c r="B3825" i="5"/>
  <c r="A3825" i="5"/>
  <c r="B3824" i="5"/>
  <c r="A3824" i="5"/>
  <c r="B3823" i="5"/>
  <c r="A3823" i="5"/>
  <c r="B3822" i="5"/>
  <c r="A3822" i="5"/>
  <c r="B3821" i="5"/>
  <c r="A3821" i="5"/>
  <c r="B3820" i="5"/>
  <c r="A3820" i="5"/>
  <c r="B3819" i="5"/>
  <c r="A3819" i="5"/>
  <c r="B3818" i="5"/>
  <c r="A3818" i="5"/>
  <c r="B3817" i="5"/>
  <c r="A3817" i="5"/>
  <c r="B3816" i="5"/>
  <c r="A3816" i="5"/>
  <c r="B3815" i="5"/>
  <c r="A3815" i="5"/>
  <c r="B3814" i="5"/>
  <c r="A3814" i="5"/>
  <c r="B3813" i="5"/>
  <c r="A3813" i="5"/>
  <c r="B3812" i="5"/>
  <c r="A3812" i="5"/>
  <c r="B3811" i="5"/>
  <c r="A3811" i="5"/>
  <c r="B3810" i="5"/>
  <c r="A3810" i="5"/>
  <c r="B3809" i="5"/>
  <c r="A3809" i="5"/>
  <c r="B3808" i="5"/>
  <c r="A3808" i="5"/>
  <c r="B3807" i="5"/>
  <c r="A3807" i="5"/>
  <c r="B3806" i="5"/>
  <c r="A3806" i="5"/>
  <c r="B3805" i="5"/>
  <c r="A3805" i="5"/>
  <c r="B3804" i="5"/>
  <c r="A3804" i="5"/>
  <c r="B3803" i="5"/>
  <c r="A3803" i="5"/>
  <c r="B3802" i="5"/>
  <c r="A3802" i="5"/>
  <c r="B3801" i="5"/>
  <c r="A3801" i="5"/>
  <c r="B3800" i="5"/>
  <c r="A3800" i="5"/>
  <c r="B3799" i="5"/>
  <c r="A3799" i="5"/>
  <c r="B3798" i="5"/>
  <c r="A3798" i="5"/>
  <c r="B3797" i="5"/>
  <c r="A3797" i="5"/>
  <c r="B3796" i="5"/>
  <c r="A3796" i="5"/>
  <c r="B3795" i="5"/>
  <c r="A3795" i="5"/>
  <c r="B3794" i="5"/>
  <c r="A3794" i="5"/>
  <c r="B3793" i="5"/>
  <c r="A3793" i="5"/>
  <c r="B3792" i="5"/>
  <c r="A3792" i="5"/>
  <c r="B3791" i="5"/>
  <c r="A3791" i="5"/>
  <c r="B3790" i="5"/>
  <c r="A3790" i="5"/>
  <c r="B3789" i="5"/>
  <c r="A3789" i="5"/>
  <c r="B3788" i="5"/>
  <c r="A3788" i="5"/>
  <c r="B3787" i="5"/>
  <c r="A3787" i="5"/>
  <c r="B3786" i="5"/>
  <c r="A3786" i="5"/>
  <c r="B3785" i="5"/>
  <c r="A3785" i="5"/>
  <c r="B3784" i="5"/>
  <c r="A3784" i="5"/>
  <c r="B3783" i="5"/>
  <c r="A3783" i="5"/>
  <c r="B3782" i="5"/>
  <c r="A3782" i="5"/>
  <c r="B3781" i="5"/>
  <c r="A3781" i="5"/>
  <c r="B3780" i="5"/>
  <c r="A3780" i="5"/>
  <c r="B3779" i="5"/>
  <c r="A3779" i="5"/>
  <c r="B3778" i="5"/>
  <c r="A3778" i="5"/>
  <c r="B3777" i="5"/>
  <c r="A3777" i="5"/>
  <c r="B3776" i="5"/>
  <c r="A3776" i="5"/>
  <c r="B3775" i="5"/>
  <c r="A3775" i="5"/>
  <c r="B3774" i="5"/>
  <c r="A3774" i="5"/>
  <c r="B3773" i="5"/>
  <c r="A3773" i="5"/>
  <c r="B3772" i="5"/>
  <c r="A3772" i="5"/>
  <c r="B3771" i="5"/>
  <c r="A3771" i="5"/>
  <c r="B3770" i="5"/>
  <c r="A3770" i="5"/>
  <c r="B3769" i="5"/>
  <c r="A3769" i="5"/>
  <c r="B3768" i="5"/>
  <c r="A3768" i="5"/>
  <c r="B3767" i="5"/>
  <c r="A3767" i="5"/>
  <c r="B3766" i="5"/>
  <c r="A3766" i="5"/>
  <c r="B3765" i="5"/>
  <c r="A3765" i="5"/>
  <c r="B3764" i="5"/>
  <c r="A3764" i="5"/>
  <c r="B3763" i="5"/>
  <c r="A3763" i="5"/>
  <c r="B3762" i="5"/>
  <c r="A3762" i="5"/>
  <c r="B3761" i="5"/>
  <c r="A3761" i="5"/>
  <c r="B3760" i="5"/>
  <c r="A3760" i="5"/>
  <c r="B3759" i="5"/>
  <c r="A3759" i="5"/>
  <c r="B3758" i="5"/>
  <c r="A3758" i="5"/>
  <c r="B3757" i="5"/>
  <c r="A3757" i="5"/>
  <c r="B3756" i="5"/>
  <c r="A3756" i="5"/>
  <c r="B3755" i="5"/>
  <c r="A3755" i="5"/>
  <c r="B3754" i="5"/>
  <c r="A3754" i="5"/>
  <c r="B3753" i="5"/>
  <c r="A3753" i="5"/>
  <c r="B3752" i="5"/>
  <c r="A3752" i="5"/>
  <c r="B3751" i="5"/>
  <c r="A3751" i="5"/>
  <c r="B3750" i="5"/>
  <c r="A3750" i="5"/>
  <c r="B3749" i="5"/>
  <c r="A3749" i="5"/>
  <c r="B3748" i="5"/>
  <c r="A3748" i="5"/>
  <c r="B3747" i="5"/>
  <c r="A3747" i="5"/>
  <c r="B3746" i="5"/>
  <c r="A3746" i="5"/>
  <c r="B3745" i="5"/>
  <c r="A3745" i="5"/>
  <c r="B3744" i="5"/>
  <c r="A3744" i="5"/>
  <c r="B3743" i="5"/>
  <c r="A3743" i="5"/>
  <c r="B3742" i="5"/>
  <c r="A3742" i="5"/>
  <c r="B3741" i="5"/>
  <c r="A3741" i="5"/>
  <c r="B3740" i="5"/>
  <c r="A3740" i="5"/>
  <c r="B3739" i="5"/>
  <c r="A3739" i="5"/>
  <c r="B3738" i="5"/>
  <c r="A3738" i="5"/>
  <c r="B3737" i="5"/>
  <c r="A3737" i="5"/>
  <c r="B3736" i="5"/>
  <c r="A3736" i="5"/>
  <c r="B3735" i="5"/>
  <c r="A3735" i="5"/>
  <c r="B3734" i="5"/>
  <c r="A3734" i="5"/>
  <c r="B3733" i="5"/>
  <c r="A3733" i="5"/>
  <c r="B3732" i="5"/>
  <c r="A3732" i="5"/>
  <c r="B3731" i="5"/>
  <c r="A3731" i="5"/>
  <c r="B3730" i="5"/>
  <c r="A3730" i="5"/>
  <c r="B3729" i="5"/>
  <c r="A3729" i="5"/>
  <c r="B3728" i="5"/>
  <c r="A3728" i="5"/>
  <c r="B3727" i="5"/>
  <c r="A3727" i="5"/>
  <c r="B3726" i="5"/>
  <c r="A3726" i="5"/>
  <c r="B3725" i="5"/>
  <c r="A3725" i="5"/>
  <c r="B3724" i="5"/>
  <c r="A3724" i="5"/>
  <c r="B3723" i="5"/>
  <c r="A3723" i="5"/>
  <c r="B3722" i="5"/>
  <c r="A3722" i="5"/>
  <c r="B3721" i="5"/>
  <c r="A3721" i="5"/>
  <c r="B3720" i="5"/>
  <c r="A3720" i="5"/>
  <c r="B3719" i="5"/>
  <c r="A3719" i="5"/>
  <c r="B3718" i="5"/>
  <c r="A3718" i="5"/>
  <c r="B3717" i="5"/>
  <c r="A3717" i="5"/>
  <c r="B3716" i="5"/>
  <c r="A3716" i="5"/>
  <c r="B3715" i="5"/>
  <c r="A3715" i="5"/>
  <c r="B3714" i="5"/>
  <c r="A3714" i="5"/>
  <c r="B3713" i="5"/>
  <c r="A3713" i="5"/>
  <c r="B3712" i="5"/>
  <c r="A3712" i="5"/>
  <c r="B3711" i="5"/>
  <c r="A3711" i="5"/>
  <c r="B3710" i="5"/>
  <c r="A3710" i="5"/>
  <c r="B3709" i="5"/>
  <c r="A3709" i="5"/>
  <c r="B3708" i="5"/>
  <c r="A3708" i="5"/>
  <c r="B3707" i="5"/>
  <c r="A3707" i="5"/>
  <c r="B3706" i="5"/>
  <c r="A3706" i="5"/>
  <c r="B3705" i="5"/>
  <c r="A3705" i="5"/>
  <c r="B3704" i="5"/>
  <c r="A3704" i="5"/>
  <c r="B3703" i="5"/>
  <c r="A3703" i="5"/>
  <c r="B3702" i="5"/>
  <c r="A3702" i="5"/>
  <c r="B3701" i="5"/>
  <c r="A3701" i="5"/>
  <c r="B3700" i="5"/>
  <c r="A3700" i="5"/>
  <c r="B3699" i="5"/>
  <c r="A3699" i="5"/>
  <c r="B3698" i="5"/>
  <c r="A3698" i="5"/>
  <c r="B3697" i="5"/>
  <c r="A3697" i="5"/>
  <c r="B3696" i="5"/>
  <c r="A3696" i="5"/>
  <c r="B3695" i="5"/>
  <c r="A3695" i="5"/>
  <c r="B3694" i="5"/>
  <c r="A3694" i="5"/>
  <c r="B3693" i="5"/>
  <c r="A3693" i="5"/>
  <c r="B3692" i="5"/>
  <c r="A3692" i="5"/>
  <c r="B3691" i="5"/>
  <c r="A3691" i="5"/>
  <c r="B3690" i="5"/>
  <c r="A3690" i="5"/>
  <c r="B3689" i="5"/>
  <c r="A3689" i="5"/>
  <c r="B3688" i="5"/>
  <c r="A3688" i="5"/>
  <c r="B3687" i="5"/>
  <c r="A3687" i="5"/>
  <c r="B3686" i="5"/>
  <c r="A3686" i="5"/>
  <c r="B3685" i="5"/>
  <c r="A3685" i="5"/>
  <c r="B3684" i="5"/>
  <c r="A3684" i="5"/>
  <c r="B3683" i="5"/>
  <c r="A3683" i="5"/>
  <c r="B3682" i="5"/>
  <c r="A3682" i="5"/>
  <c r="B3681" i="5"/>
  <c r="A3681" i="5"/>
  <c r="B3680" i="5"/>
  <c r="A3680" i="5"/>
  <c r="B3679" i="5"/>
  <c r="A3679" i="5"/>
  <c r="B3678" i="5"/>
  <c r="A3678" i="5"/>
  <c r="B3677" i="5"/>
  <c r="A3677" i="5"/>
  <c r="B3676" i="5"/>
  <c r="A3676" i="5"/>
  <c r="B3675" i="5"/>
  <c r="A3675" i="5"/>
  <c r="B3674" i="5"/>
  <c r="A3674" i="5"/>
  <c r="B3673" i="5"/>
  <c r="A3673" i="5"/>
  <c r="B3672" i="5"/>
  <c r="A3672" i="5"/>
  <c r="B3671" i="5"/>
  <c r="A3671" i="5"/>
  <c r="B3670" i="5"/>
  <c r="A3670" i="5"/>
  <c r="B3669" i="5"/>
  <c r="A3669" i="5"/>
  <c r="B3668" i="5"/>
  <c r="A3668" i="5"/>
  <c r="B3667" i="5"/>
  <c r="A3667" i="5"/>
  <c r="B3666" i="5"/>
  <c r="A3666" i="5"/>
  <c r="B3665" i="5"/>
  <c r="A3665" i="5"/>
  <c r="B3664" i="5"/>
  <c r="A3664" i="5"/>
  <c r="B3663" i="5"/>
  <c r="A3663" i="5"/>
  <c r="B3662" i="5"/>
  <c r="A3662" i="5"/>
  <c r="B3661" i="5"/>
  <c r="A3661" i="5"/>
  <c r="B3660" i="5"/>
  <c r="A3660" i="5"/>
  <c r="B3659" i="5"/>
  <c r="A3659" i="5"/>
  <c r="B3658" i="5"/>
  <c r="A3658" i="5"/>
  <c r="B3657" i="5"/>
  <c r="A3657" i="5"/>
  <c r="B3656" i="5"/>
  <c r="A3656" i="5"/>
  <c r="B3655" i="5"/>
  <c r="A3655" i="5"/>
  <c r="B3654" i="5"/>
  <c r="A3654" i="5"/>
  <c r="B3653" i="5"/>
  <c r="A3653" i="5"/>
  <c r="B3652" i="5"/>
  <c r="A3652" i="5"/>
  <c r="B3651" i="5"/>
  <c r="A3651" i="5"/>
  <c r="B3650" i="5"/>
  <c r="A3650" i="5"/>
  <c r="B3649" i="5"/>
  <c r="A3649" i="5"/>
  <c r="B3648" i="5"/>
  <c r="A3648" i="5"/>
  <c r="B3647" i="5"/>
  <c r="A3647" i="5"/>
  <c r="B3646" i="5"/>
  <c r="A3646" i="5"/>
  <c r="B3645" i="5"/>
  <c r="A3645" i="5"/>
  <c r="B3644" i="5"/>
  <c r="A3644" i="5"/>
  <c r="B3643" i="5"/>
  <c r="A3643" i="5"/>
  <c r="B3642" i="5"/>
  <c r="A3642" i="5"/>
  <c r="B3641" i="5"/>
  <c r="A3641" i="5"/>
  <c r="B3640" i="5"/>
  <c r="A3640" i="5"/>
  <c r="B3639" i="5"/>
  <c r="A3639" i="5"/>
  <c r="B3638" i="5"/>
  <c r="A3638" i="5"/>
  <c r="B3637" i="5"/>
  <c r="A3637" i="5"/>
  <c r="B3636" i="5"/>
  <c r="A3636" i="5"/>
  <c r="B3635" i="5"/>
  <c r="A3635" i="5"/>
  <c r="B3634" i="5"/>
  <c r="A3634" i="5"/>
  <c r="B3633" i="5"/>
  <c r="A3633" i="5"/>
  <c r="B3632" i="5"/>
  <c r="A3632" i="5"/>
  <c r="B3631" i="5"/>
  <c r="A3631" i="5"/>
  <c r="B3630" i="5"/>
  <c r="A3630" i="5"/>
  <c r="B3629" i="5"/>
  <c r="A3629" i="5"/>
  <c r="B3628" i="5"/>
  <c r="A3628" i="5"/>
  <c r="B3627" i="5"/>
  <c r="A3627" i="5"/>
  <c r="B3626" i="5"/>
  <c r="A3626" i="5"/>
  <c r="B3625" i="5"/>
  <c r="A3625" i="5"/>
  <c r="B3624" i="5"/>
  <c r="A3624" i="5"/>
  <c r="B3623" i="5"/>
  <c r="A3623" i="5"/>
  <c r="B3622" i="5"/>
  <c r="A3622" i="5"/>
  <c r="B3621" i="5"/>
  <c r="A3621" i="5"/>
  <c r="B3620" i="5"/>
  <c r="A3620" i="5"/>
  <c r="B3619" i="5"/>
  <c r="A3619" i="5"/>
  <c r="B3618" i="5"/>
  <c r="A3618" i="5"/>
  <c r="B3617" i="5"/>
  <c r="A3617" i="5"/>
  <c r="B3616" i="5"/>
  <c r="A3616" i="5"/>
  <c r="B3615" i="5"/>
  <c r="A3615" i="5"/>
  <c r="B3614" i="5"/>
  <c r="A3614" i="5"/>
  <c r="B3613" i="5"/>
  <c r="A3613" i="5"/>
  <c r="B3612" i="5"/>
  <c r="A3612" i="5"/>
  <c r="B3611" i="5"/>
  <c r="A3611" i="5"/>
  <c r="B3610" i="5"/>
  <c r="A3610" i="5"/>
  <c r="B3609" i="5"/>
  <c r="A3609" i="5"/>
  <c r="B3608" i="5"/>
  <c r="A3608" i="5"/>
  <c r="B3607" i="5"/>
  <c r="A3607" i="5"/>
  <c r="B3606" i="5"/>
  <c r="A3606" i="5"/>
  <c r="B3605" i="5"/>
  <c r="A3605" i="5"/>
  <c r="B3604" i="5"/>
  <c r="A3604" i="5"/>
  <c r="B3603" i="5"/>
  <c r="A3603" i="5"/>
  <c r="B3602" i="5"/>
  <c r="A3602" i="5"/>
  <c r="B3601" i="5"/>
  <c r="A3601" i="5"/>
  <c r="B3600" i="5"/>
  <c r="A3600" i="5"/>
  <c r="B3599" i="5"/>
  <c r="A3599" i="5"/>
  <c r="B3598" i="5"/>
  <c r="A3598" i="5"/>
  <c r="B3597" i="5"/>
  <c r="A3597" i="5"/>
  <c r="B3596" i="5"/>
  <c r="A3596" i="5"/>
  <c r="B3595" i="5"/>
  <c r="A3595" i="5"/>
  <c r="B3594" i="5"/>
  <c r="A3594" i="5"/>
  <c r="B3593" i="5"/>
  <c r="A3593" i="5"/>
  <c r="B3592" i="5"/>
  <c r="A3592" i="5"/>
  <c r="B3591" i="5"/>
  <c r="A3591" i="5"/>
  <c r="B3590" i="5"/>
  <c r="A3590" i="5"/>
  <c r="B3589" i="5"/>
  <c r="A3589" i="5"/>
  <c r="B3588" i="5"/>
  <c r="A3588" i="5"/>
  <c r="B3587" i="5"/>
  <c r="A3587" i="5"/>
  <c r="B3586" i="5"/>
  <c r="A3586" i="5"/>
  <c r="B3585" i="5"/>
  <c r="A3585" i="5"/>
  <c r="B3584" i="5"/>
  <c r="A3584" i="5"/>
  <c r="B3583" i="5"/>
  <c r="A3583" i="5"/>
  <c r="B3582" i="5"/>
  <c r="A3582" i="5"/>
  <c r="B3581" i="5"/>
  <c r="A3581" i="5"/>
  <c r="B3580" i="5"/>
  <c r="A3580" i="5"/>
  <c r="B3579" i="5"/>
  <c r="A3579" i="5"/>
  <c r="B3578" i="5"/>
  <c r="A3578" i="5"/>
  <c r="B3577" i="5"/>
  <c r="A3577" i="5"/>
  <c r="B3576" i="5"/>
  <c r="A3576" i="5"/>
  <c r="B3575" i="5"/>
  <c r="A3575" i="5"/>
  <c r="B3574" i="5"/>
  <c r="A3574" i="5"/>
  <c r="B3573" i="5"/>
  <c r="A3573" i="5"/>
  <c r="B3572" i="5"/>
  <c r="A3572" i="5"/>
  <c r="B3571" i="5"/>
  <c r="A3571" i="5"/>
  <c r="B3570" i="5"/>
  <c r="A3570" i="5"/>
  <c r="B3569" i="5"/>
  <c r="A3569" i="5"/>
  <c r="B3568" i="5"/>
  <c r="A3568" i="5"/>
  <c r="B3567" i="5"/>
  <c r="A3567" i="5"/>
  <c r="B3566" i="5"/>
  <c r="A3566" i="5"/>
  <c r="B3565" i="5"/>
  <c r="A3565" i="5"/>
  <c r="B3564" i="5"/>
  <c r="A3564" i="5"/>
  <c r="B3563" i="5"/>
  <c r="A3563" i="5"/>
  <c r="B3562" i="5"/>
  <c r="A3562" i="5"/>
  <c r="B3561" i="5"/>
  <c r="A3561" i="5"/>
  <c r="B3560" i="5"/>
  <c r="A3560" i="5"/>
  <c r="B3559" i="5"/>
  <c r="A3559" i="5"/>
  <c r="B3558" i="5"/>
  <c r="A3558" i="5"/>
  <c r="B3557" i="5"/>
  <c r="A3557" i="5"/>
  <c r="B3556" i="5"/>
  <c r="A3556" i="5"/>
  <c r="B3555" i="5"/>
  <c r="A3555" i="5"/>
  <c r="B3554" i="5"/>
  <c r="A3554" i="5"/>
  <c r="B3553" i="5"/>
  <c r="A3553" i="5"/>
  <c r="B3552" i="5"/>
  <c r="A3552" i="5"/>
  <c r="B3551" i="5"/>
  <c r="A3551" i="5"/>
  <c r="B3550" i="5"/>
  <c r="A3550" i="5"/>
  <c r="B3549" i="5"/>
  <c r="A3549" i="5"/>
  <c r="B3548" i="5"/>
  <c r="A3548" i="5"/>
  <c r="B3547" i="5"/>
  <c r="A3547" i="5"/>
  <c r="B3546" i="5"/>
  <c r="A3546" i="5"/>
  <c r="B3545" i="5"/>
  <c r="A3545" i="5"/>
  <c r="B3544" i="5"/>
  <c r="A3544" i="5"/>
  <c r="B3543" i="5"/>
  <c r="A3543" i="5"/>
  <c r="B3542" i="5"/>
  <c r="A3542" i="5"/>
  <c r="B3541" i="5"/>
  <c r="A3541" i="5"/>
  <c r="B3540" i="5"/>
  <c r="A3540" i="5"/>
  <c r="B3539" i="5"/>
  <c r="A3539" i="5"/>
  <c r="B3538" i="5"/>
  <c r="A3538" i="5"/>
  <c r="B3537" i="5"/>
  <c r="A3537" i="5"/>
  <c r="B3536" i="5"/>
  <c r="A3536" i="5"/>
  <c r="B3535" i="5"/>
  <c r="A3535" i="5"/>
  <c r="B3534" i="5"/>
  <c r="A3534" i="5"/>
  <c r="B3533" i="5"/>
  <c r="A3533" i="5"/>
  <c r="B3532" i="5"/>
  <c r="A3532" i="5"/>
  <c r="B3531" i="5"/>
  <c r="A3531" i="5"/>
  <c r="B3530" i="5"/>
  <c r="A3530" i="5"/>
  <c r="B3529" i="5"/>
  <c r="A3529" i="5"/>
  <c r="B3528" i="5"/>
  <c r="A3528" i="5"/>
  <c r="B3527" i="5"/>
  <c r="A3527" i="5"/>
  <c r="B3526" i="5"/>
  <c r="A3526" i="5"/>
  <c r="B3525" i="5"/>
  <c r="A3525" i="5"/>
  <c r="B3524" i="5"/>
  <c r="A3524" i="5"/>
  <c r="B3523" i="5"/>
  <c r="A3523" i="5"/>
  <c r="B3522" i="5"/>
  <c r="A3522" i="5"/>
  <c r="B3521" i="5"/>
  <c r="A3521" i="5"/>
  <c r="B3520" i="5"/>
  <c r="A3520" i="5"/>
  <c r="B3519" i="5"/>
  <c r="A3519" i="5"/>
  <c r="B3518" i="5"/>
  <c r="A3518" i="5"/>
  <c r="B3517" i="5"/>
  <c r="A3517" i="5"/>
  <c r="B3516" i="5"/>
  <c r="A3516" i="5"/>
  <c r="B3515" i="5"/>
  <c r="A3515" i="5"/>
  <c r="B3514" i="5"/>
  <c r="A3514" i="5"/>
  <c r="B3513" i="5"/>
  <c r="A3513" i="5"/>
  <c r="B3512" i="5"/>
  <c r="A3512" i="5"/>
  <c r="B3511" i="5"/>
  <c r="A3511" i="5"/>
  <c r="B3510" i="5"/>
  <c r="A3510" i="5"/>
  <c r="B3509" i="5"/>
  <c r="A3509" i="5"/>
  <c r="B3508" i="5"/>
  <c r="A3508" i="5"/>
  <c r="B3507" i="5"/>
  <c r="A3507" i="5"/>
  <c r="B3506" i="5"/>
  <c r="A3506" i="5"/>
  <c r="B3505" i="5"/>
  <c r="A3505" i="5"/>
  <c r="B3504" i="5"/>
  <c r="A3504" i="5"/>
  <c r="B3503" i="5"/>
  <c r="A3503" i="5"/>
  <c r="B3502" i="5"/>
  <c r="A3502" i="5"/>
  <c r="B3501" i="5"/>
  <c r="A3501" i="5"/>
  <c r="B3500" i="5"/>
  <c r="A3500" i="5"/>
  <c r="B3499" i="5"/>
  <c r="A3499" i="5"/>
  <c r="B3498" i="5"/>
  <c r="A3498" i="5"/>
  <c r="B3497" i="5"/>
  <c r="A3497" i="5"/>
  <c r="B3496" i="5"/>
  <c r="A3496" i="5"/>
  <c r="B3495" i="5"/>
  <c r="A3495" i="5"/>
  <c r="B3494" i="5"/>
  <c r="A3494" i="5"/>
  <c r="B3493" i="5"/>
  <c r="A3493" i="5"/>
  <c r="B3492" i="5"/>
  <c r="A3492" i="5"/>
  <c r="B3491" i="5"/>
  <c r="A3491" i="5"/>
  <c r="B3490" i="5"/>
  <c r="A3490" i="5"/>
  <c r="B3489" i="5"/>
  <c r="A3489" i="5"/>
  <c r="B3488" i="5"/>
  <c r="A3488" i="5"/>
  <c r="B3487" i="5"/>
  <c r="A3487" i="5"/>
  <c r="B3486" i="5"/>
  <c r="A3486" i="5"/>
  <c r="B3485" i="5"/>
  <c r="A3485" i="5"/>
  <c r="B3484" i="5"/>
  <c r="A3484" i="5"/>
  <c r="B3483" i="5"/>
  <c r="A3483" i="5"/>
  <c r="B3482" i="5"/>
  <c r="A3482" i="5"/>
  <c r="B3481" i="5"/>
  <c r="A3481" i="5"/>
  <c r="B3480" i="5"/>
  <c r="A3480" i="5"/>
  <c r="B3479" i="5"/>
  <c r="A3479" i="5"/>
  <c r="B3478" i="5"/>
  <c r="A3478" i="5"/>
  <c r="B3477" i="5"/>
  <c r="A3477" i="5"/>
  <c r="B3476" i="5"/>
  <c r="A3476" i="5"/>
  <c r="B3475" i="5"/>
  <c r="A3475" i="5"/>
  <c r="B3474" i="5"/>
  <c r="A3474" i="5"/>
  <c r="B3473" i="5"/>
  <c r="A3473" i="5"/>
  <c r="B3472" i="5"/>
  <c r="A3472" i="5"/>
  <c r="B3471" i="5"/>
  <c r="A3471" i="5"/>
  <c r="B3470" i="5"/>
  <c r="A3470" i="5"/>
  <c r="B3469" i="5"/>
  <c r="A3469" i="5"/>
  <c r="B3468" i="5"/>
  <c r="A3468" i="5"/>
  <c r="B3467" i="5"/>
  <c r="A3467" i="5"/>
  <c r="B3466" i="5"/>
  <c r="A3466" i="5"/>
  <c r="B3465" i="5"/>
  <c r="A3465" i="5"/>
  <c r="B3464" i="5"/>
  <c r="A3464" i="5"/>
  <c r="B3463" i="5"/>
  <c r="A3463" i="5"/>
  <c r="B3462" i="5"/>
  <c r="A3462" i="5"/>
  <c r="B3461" i="5"/>
  <c r="A3461" i="5"/>
  <c r="B3460" i="5"/>
  <c r="A3460" i="5"/>
  <c r="B3459" i="5"/>
  <c r="A3459" i="5"/>
  <c r="B3458" i="5"/>
  <c r="A3458" i="5"/>
  <c r="B3457" i="5"/>
  <c r="A3457" i="5"/>
  <c r="B3456" i="5"/>
  <c r="A3456" i="5"/>
  <c r="B3455" i="5"/>
  <c r="A3455" i="5"/>
  <c r="B3454" i="5"/>
  <c r="A3454" i="5"/>
  <c r="B3453" i="5"/>
  <c r="A3453" i="5"/>
  <c r="B3452" i="5"/>
  <c r="A3452" i="5"/>
  <c r="B3451" i="5"/>
  <c r="A3451" i="5"/>
  <c r="B3450" i="5"/>
  <c r="A3450" i="5"/>
  <c r="B3449" i="5"/>
  <c r="A3449" i="5"/>
  <c r="B3448" i="5"/>
  <c r="A3448" i="5"/>
  <c r="B3447" i="5"/>
  <c r="A3447" i="5"/>
  <c r="B3446" i="5"/>
  <c r="A3446" i="5"/>
  <c r="B3445" i="5"/>
  <c r="A3445" i="5"/>
  <c r="B3444" i="5"/>
  <c r="A3444" i="5"/>
  <c r="B3443" i="5"/>
  <c r="A3443" i="5"/>
  <c r="B3442" i="5"/>
  <c r="A3442" i="5"/>
  <c r="B3441" i="5"/>
  <c r="A3441" i="5"/>
  <c r="B3440" i="5"/>
  <c r="A3440" i="5"/>
  <c r="B3439" i="5"/>
  <c r="A3439" i="5"/>
  <c r="B3438" i="5"/>
  <c r="A3438" i="5"/>
  <c r="B3437" i="5"/>
  <c r="A3437" i="5"/>
  <c r="B3436" i="5"/>
  <c r="A3436" i="5"/>
  <c r="B3435" i="5"/>
  <c r="A3435" i="5"/>
  <c r="B3434" i="5"/>
  <c r="A3434" i="5"/>
  <c r="B3433" i="5"/>
  <c r="A3433" i="5"/>
  <c r="B3432" i="5"/>
  <c r="A3432" i="5"/>
  <c r="B3431" i="5"/>
  <c r="A3431" i="5"/>
  <c r="B3430" i="5"/>
  <c r="A3430" i="5"/>
  <c r="B3429" i="5"/>
  <c r="A3429" i="5"/>
  <c r="B3428" i="5"/>
  <c r="A3428" i="5"/>
  <c r="B3427" i="5"/>
  <c r="A3427" i="5"/>
  <c r="B3426" i="5"/>
  <c r="A3426" i="5"/>
  <c r="B3425" i="5"/>
  <c r="A3425" i="5"/>
  <c r="B3424" i="5"/>
  <c r="A3424" i="5"/>
  <c r="B3423" i="5"/>
  <c r="A3423" i="5"/>
  <c r="B3422" i="5"/>
  <c r="A3422" i="5"/>
  <c r="B3421" i="5"/>
  <c r="A3421" i="5"/>
  <c r="B3420" i="5"/>
  <c r="A3420" i="5"/>
  <c r="B3419" i="5"/>
  <c r="A3419" i="5"/>
  <c r="B3418" i="5"/>
  <c r="A3418" i="5"/>
  <c r="B3417" i="5"/>
  <c r="A3417" i="5"/>
  <c r="B3416" i="5"/>
  <c r="A3416" i="5"/>
  <c r="B3415" i="5"/>
  <c r="A3415" i="5"/>
  <c r="B3414" i="5"/>
  <c r="A3414" i="5"/>
  <c r="B3413" i="5"/>
  <c r="A3413" i="5"/>
  <c r="B3412" i="5"/>
  <c r="A3412" i="5"/>
  <c r="B3411" i="5"/>
  <c r="A3411" i="5"/>
  <c r="B3410" i="5"/>
  <c r="A3410" i="5"/>
  <c r="B3409" i="5"/>
  <c r="A3409" i="5"/>
  <c r="B3408" i="5"/>
  <c r="A3408" i="5"/>
  <c r="B3407" i="5"/>
  <c r="A3407" i="5"/>
  <c r="B3406" i="5"/>
  <c r="A3406" i="5"/>
  <c r="B3405" i="5"/>
  <c r="A3405" i="5"/>
  <c r="B3404" i="5"/>
  <c r="A3404" i="5"/>
  <c r="B3403" i="5"/>
  <c r="A3403" i="5"/>
  <c r="B3402" i="5"/>
  <c r="A3402" i="5"/>
  <c r="B3401" i="5"/>
  <c r="A3401" i="5"/>
  <c r="B3400" i="5"/>
  <c r="A3400" i="5"/>
  <c r="B3399" i="5"/>
  <c r="A3399" i="5"/>
  <c r="B3398" i="5"/>
  <c r="A3398" i="5"/>
  <c r="B3397" i="5"/>
  <c r="A3397" i="5"/>
  <c r="B3396" i="5"/>
  <c r="A3396" i="5"/>
  <c r="B3395" i="5"/>
  <c r="A3395" i="5"/>
  <c r="B3394" i="5"/>
  <c r="A3394" i="5"/>
  <c r="B3393" i="5"/>
  <c r="A3393" i="5"/>
  <c r="B3392" i="5"/>
  <c r="A3392" i="5"/>
  <c r="B3391" i="5"/>
  <c r="A3391" i="5"/>
  <c r="B3390" i="5"/>
  <c r="A3390" i="5"/>
  <c r="B3389" i="5"/>
  <c r="A3389" i="5"/>
  <c r="B3388" i="5"/>
  <c r="A3388" i="5"/>
  <c r="B3387" i="5"/>
  <c r="A3387" i="5"/>
  <c r="B3386" i="5"/>
  <c r="A3386" i="5"/>
  <c r="B3385" i="5"/>
  <c r="A3385" i="5"/>
  <c r="B3384" i="5"/>
  <c r="A3384" i="5"/>
  <c r="B3383" i="5"/>
  <c r="A3383" i="5"/>
  <c r="B3382" i="5"/>
  <c r="A3382" i="5"/>
  <c r="B3381" i="5"/>
  <c r="A3381" i="5"/>
  <c r="B3380" i="5"/>
  <c r="A3380" i="5"/>
  <c r="B3379" i="5"/>
  <c r="A3379" i="5"/>
  <c r="B3378" i="5"/>
  <c r="A3378" i="5"/>
  <c r="B3377" i="5"/>
  <c r="A3377" i="5"/>
  <c r="B3376" i="5"/>
  <c r="A3376" i="5"/>
  <c r="B3375" i="5"/>
  <c r="A3375" i="5"/>
  <c r="B3374" i="5"/>
  <c r="A3374" i="5"/>
  <c r="B3373" i="5"/>
  <c r="A3373" i="5"/>
  <c r="B3372" i="5"/>
  <c r="A3372" i="5"/>
  <c r="B3371" i="5"/>
  <c r="A3371" i="5"/>
  <c r="B3370" i="5"/>
  <c r="A3370" i="5"/>
  <c r="B3369" i="5"/>
  <c r="A3369" i="5"/>
  <c r="B3368" i="5"/>
  <c r="A3368" i="5"/>
  <c r="B3367" i="5"/>
  <c r="A3367" i="5"/>
  <c r="B3366" i="5"/>
  <c r="A3366" i="5"/>
  <c r="B3365" i="5"/>
  <c r="A3365" i="5"/>
  <c r="B3364" i="5"/>
  <c r="A3364" i="5"/>
  <c r="B3363" i="5"/>
  <c r="A3363" i="5"/>
  <c r="B3362" i="5"/>
  <c r="A3362" i="5"/>
  <c r="B3361" i="5"/>
  <c r="A3361" i="5"/>
  <c r="B3360" i="5"/>
  <c r="A3360" i="5"/>
  <c r="B3359" i="5"/>
  <c r="A3359" i="5"/>
  <c r="B3358" i="5"/>
  <c r="A3358" i="5"/>
  <c r="B3357" i="5"/>
  <c r="A3357" i="5"/>
  <c r="B3356" i="5"/>
  <c r="A3356" i="5"/>
  <c r="B3355" i="5"/>
  <c r="A3355" i="5"/>
  <c r="B3354" i="5"/>
  <c r="A3354" i="5"/>
  <c r="B3353" i="5"/>
  <c r="A3353" i="5"/>
  <c r="B3352" i="5"/>
  <c r="A3352" i="5"/>
  <c r="B3351" i="5"/>
  <c r="A3351" i="5"/>
  <c r="B3350" i="5"/>
  <c r="A3350" i="5"/>
  <c r="B3349" i="5"/>
  <c r="A3349" i="5"/>
  <c r="B3348" i="5"/>
  <c r="A3348" i="5"/>
  <c r="B3347" i="5"/>
  <c r="A3347" i="5"/>
  <c r="B3346" i="5"/>
  <c r="A3346" i="5"/>
  <c r="B3345" i="5"/>
  <c r="A3345" i="5"/>
  <c r="B3344" i="5"/>
  <c r="A3344" i="5"/>
  <c r="B3343" i="5"/>
  <c r="A3343" i="5"/>
  <c r="B3342" i="5"/>
  <c r="A3342" i="5"/>
  <c r="B3341" i="5"/>
  <c r="A3341" i="5"/>
  <c r="B3340" i="5"/>
  <c r="A3340" i="5"/>
  <c r="B3339" i="5"/>
  <c r="A3339" i="5"/>
  <c r="B3338" i="5"/>
  <c r="A3338" i="5"/>
  <c r="B3337" i="5"/>
  <c r="A3337" i="5"/>
  <c r="B3336" i="5"/>
  <c r="A3336" i="5"/>
  <c r="B3335" i="5"/>
  <c r="A3335" i="5"/>
  <c r="B3334" i="5"/>
  <c r="A3334" i="5"/>
  <c r="B3333" i="5"/>
  <c r="A3333" i="5"/>
  <c r="B3332" i="5"/>
  <c r="A3332" i="5"/>
  <c r="B3331" i="5"/>
  <c r="A3331" i="5"/>
  <c r="B3330" i="5"/>
  <c r="A3330" i="5"/>
  <c r="B3329" i="5"/>
  <c r="A3329" i="5"/>
  <c r="B3328" i="5"/>
  <c r="A3328" i="5"/>
  <c r="B3327" i="5"/>
  <c r="A3327" i="5"/>
  <c r="B3326" i="5"/>
  <c r="A3326" i="5"/>
  <c r="B3325" i="5"/>
  <c r="A3325" i="5"/>
  <c r="B3324" i="5"/>
  <c r="A3324" i="5"/>
  <c r="B3323" i="5"/>
  <c r="A3323" i="5"/>
  <c r="B3322" i="5"/>
  <c r="A3322" i="5"/>
  <c r="B3321" i="5"/>
  <c r="A3321" i="5"/>
  <c r="B3320" i="5"/>
  <c r="A3320" i="5"/>
  <c r="B3319" i="5"/>
  <c r="A3319" i="5"/>
  <c r="B3318" i="5"/>
  <c r="A3318" i="5"/>
  <c r="B3317" i="5"/>
  <c r="A3317" i="5"/>
  <c r="B3316" i="5"/>
  <c r="A3316" i="5"/>
  <c r="B3315" i="5"/>
  <c r="A3315" i="5"/>
  <c r="B3314" i="5"/>
  <c r="A3314" i="5"/>
  <c r="B3313" i="5"/>
  <c r="A3313" i="5"/>
  <c r="B3312" i="5"/>
  <c r="A3312" i="5"/>
  <c r="B3311" i="5"/>
  <c r="A3311" i="5"/>
  <c r="B3310" i="5"/>
  <c r="A3310" i="5"/>
  <c r="B3309" i="5"/>
  <c r="A3309" i="5"/>
  <c r="B3308" i="5"/>
  <c r="A3308" i="5"/>
  <c r="B3307" i="5"/>
  <c r="A3307" i="5"/>
  <c r="B3306" i="5"/>
  <c r="A3306" i="5"/>
  <c r="B3305" i="5"/>
  <c r="A3305" i="5"/>
  <c r="B3304" i="5"/>
  <c r="A3304" i="5"/>
  <c r="B3303" i="5"/>
  <c r="A3303" i="5"/>
  <c r="B3302" i="5"/>
  <c r="A3302" i="5"/>
  <c r="B3301" i="5"/>
  <c r="A3301" i="5"/>
  <c r="B3300" i="5"/>
  <c r="A3300" i="5"/>
  <c r="B3299" i="5"/>
  <c r="A3299" i="5"/>
  <c r="B3298" i="5"/>
  <c r="A3298" i="5"/>
  <c r="B3297" i="5"/>
  <c r="A3297" i="5"/>
  <c r="B3296" i="5"/>
  <c r="A3296" i="5"/>
  <c r="B3295" i="5"/>
  <c r="A3295" i="5"/>
  <c r="B3294" i="5"/>
  <c r="A3294" i="5"/>
  <c r="B3293" i="5"/>
  <c r="A3293" i="5"/>
  <c r="B3292" i="5"/>
  <c r="A3292" i="5"/>
  <c r="B3291" i="5"/>
  <c r="A3291" i="5"/>
  <c r="B3290" i="5"/>
  <c r="A3290" i="5"/>
  <c r="B3289" i="5"/>
  <c r="A3289" i="5"/>
  <c r="B3288" i="5"/>
  <c r="A3288" i="5"/>
  <c r="B3287" i="5"/>
  <c r="A3287" i="5"/>
  <c r="B3286" i="5"/>
  <c r="A3286" i="5"/>
  <c r="B3285" i="5"/>
  <c r="A3285" i="5"/>
  <c r="B3284" i="5"/>
  <c r="A3284" i="5"/>
  <c r="B3283" i="5"/>
  <c r="A3283" i="5"/>
  <c r="B3282" i="5"/>
  <c r="A3282" i="5"/>
  <c r="B3281" i="5"/>
  <c r="A3281" i="5"/>
  <c r="B3280" i="5"/>
  <c r="A3280" i="5"/>
  <c r="B3279" i="5"/>
  <c r="A3279" i="5"/>
  <c r="B3278" i="5"/>
  <c r="A3278" i="5"/>
  <c r="B3277" i="5"/>
  <c r="A3277" i="5"/>
  <c r="B3276" i="5"/>
  <c r="A3276" i="5"/>
  <c r="B3275" i="5"/>
  <c r="A3275" i="5"/>
  <c r="B3274" i="5"/>
  <c r="A3274" i="5"/>
  <c r="B3273" i="5"/>
  <c r="A3273" i="5"/>
  <c r="B3272" i="5"/>
  <c r="A3272" i="5"/>
  <c r="B3271" i="5"/>
  <c r="A3271" i="5"/>
  <c r="B3270" i="5"/>
  <c r="A3270" i="5"/>
  <c r="B3269" i="5"/>
  <c r="A3269" i="5"/>
  <c r="B3268" i="5"/>
  <c r="A3268" i="5"/>
  <c r="B3267" i="5"/>
  <c r="A3267" i="5"/>
  <c r="B3266" i="5"/>
  <c r="A3266" i="5"/>
  <c r="B3265" i="5"/>
  <c r="A3265" i="5"/>
  <c r="B3264" i="5"/>
  <c r="A3264" i="5"/>
  <c r="B3263" i="5"/>
  <c r="A3263" i="5"/>
  <c r="B3262" i="5"/>
  <c r="A3262" i="5"/>
  <c r="B3261" i="5"/>
  <c r="A3261" i="5"/>
  <c r="B3260" i="5"/>
  <c r="A3260" i="5"/>
  <c r="B3259" i="5"/>
  <c r="A3259" i="5"/>
  <c r="B3258" i="5"/>
  <c r="A3258" i="5"/>
  <c r="B3257" i="5"/>
  <c r="A3257" i="5"/>
  <c r="B3256" i="5"/>
  <c r="A3256" i="5"/>
  <c r="B3255" i="5"/>
  <c r="A3255" i="5"/>
  <c r="B3254" i="5"/>
  <c r="A3254" i="5"/>
  <c r="B3253" i="5"/>
  <c r="A3253" i="5"/>
  <c r="B3252" i="5"/>
  <c r="A3252" i="5"/>
  <c r="B3251" i="5"/>
  <c r="A3251" i="5"/>
  <c r="B3250" i="5"/>
  <c r="A3250" i="5"/>
  <c r="B3249" i="5"/>
  <c r="A3249" i="5"/>
  <c r="B3248" i="5"/>
  <c r="A3248" i="5"/>
  <c r="B3247" i="5"/>
  <c r="A3247" i="5"/>
  <c r="B3246" i="5"/>
  <c r="A3246" i="5"/>
  <c r="B3245" i="5"/>
  <c r="A3245" i="5"/>
  <c r="B3244" i="5"/>
  <c r="A3244" i="5"/>
  <c r="B3243" i="5"/>
  <c r="A3243" i="5"/>
  <c r="B3242" i="5"/>
  <c r="A3242" i="5"/>
  <c r="B3241" i="5"/>
  <c r="A3241" i="5"/>
  <c r="B3240" i="5"/>
  <c r="A3240" i="5"/>
  <c r="B3239" i="5"/>
  <c r="A3239" i="5"/>
  <c r="B3238" i="5"/>
  <c r="A3238" i="5"/>
  <c r="B3237" i="5"/>
  <c r="A3237" i="5"/>
  <c r="B3236" i="5"/>
  <c r="A3236" i="5"/>
  <c r="B3235" i="5"/>
  <c r="A3235" i="5"/>
  <c r="B3234" i="5"/>
  <c r="A3234" i="5"/>
  <c r="B3233" i="5"/>
  <c r="A3233" i="5"/>
  <c r="B3232" i="5"/>
  <c r="A3232" i="5"/>
  <c r="B3231" i="5"/>
  <c r="A3231" i="5"/>
  <c r="B3230" i="5"/>
  <c r="A3230" i="5"/>
  <c r="B3229" i="5"/>
  <c r="A3229" i="5"/>
  <c r="B3228" i="5"/>
  <c r="A3228" i="5"/>
  <c r="B3227" i="5"/>
  <c r="A3227" i="5"/>
  <c r="B3226" i="5"/>
  <c r="A3226" i="5"/>
  <c r="B3225" i="5"/>
  <c r="A3225" i="5"/>
  <c r="B3224" i="5"/>
  <c r="A3224" i="5"/>
  <c r="B3223" i="5"/>
  <c r="A3223" i="5"/>
  <c r="B3222" i="5"/>
  <c r="A3222" i="5"/>
  <c r="B3221" i="5"/>
  <c r="A3221" i="5"/>
  <c r="B3220" i="5"/>
  <c r="A3220" i="5"/>
  <c r="B3219" i="5"/>
  <c r="A3219" i="5"/>
  <c r="B3218" i="5"/>
  <c r="A3218" i="5"/>
  <c r="B3217" i="5"/>
  <c r="A3217" i="5"/>
  <c r="B3216" i="5"/>
  <c r="A3216" i="5"/>
  <c r="B3215" i="5"/>
  <c r="A3215" i="5"/>
  <c r="B3214" i="5"/>
  <c r="A3214" i="5"/>
  <c r="B3213" i="5"/>
  <c r="A3213" i="5"/>
  <c r="B3212" i="5"/>
  <c r="A3212" i="5"/>
  <c r="B3211" i="5"/>
  <c r="A3211" i="5"/>
  <c r="B3210" i="5"/>
  <c r="A3210" i="5"/>
  <c r="B3209" i="5"/>
  <c r="A3209" i="5"/>
  <c r="B3208" i="5"/>
  <c r="A3208" i="5"/>
  <c r="B3207" i="5"/>
  <c r="A3207" i="5"/>
  <c r="B3206" i="5"/>
  <c r="A3206" i="5"/>
  <c r="B3205" i="5"/>
  <c r="A3205" i="5"/>
  <c r="B3204" i="5"/>
  <c r="A3204" i="5"/>
  <c r="B3203" i="5"/>
  <c r="A3203" i="5"/>
  <c r="B3202" i="5"/>
  <c r="A3202" i="5"/>
  <c r="B3201" i="5"/>
  <c r="A3201" i="5"/>
  <c r="B3200" i="5"/>
  <c r="A3200" i="5"/>
  <c r="B3199" i="5"/>
  <c r="A3199" i="5"/>
  <c r="B3198" i="5"/>
  <c r="A3198" i="5"/>
  <c r="B3197" i="5"/>
  <c r="A3197" i="5"/>
  <c r="B3196" i="5"/>
  <c r="A3196" i="5"/>
  <c r="B3195" i="5"/>
  <c r="A3195" i="5"/>
  <c r="B3194" i="5"/>
  <c r="A3194" i="5"/>
  <c r="B3193" i="5"/>
  <c r="A3193" i="5"/>
  <c r="B3192" i="5"/>
  <c r="A3192" i="5"/>
  <c r="B3191" i="5"/>
  <c r="A3191" i="5"/>
  <c r="B3190" i="5"/>
  <c r="A3190" i="5"/>
  <c r="B3189" i="5"/>
  <c r="A3189" i="5"/>
  <c r="B3188" i="5"/>
  <c r="A3188" i="5"/>
  <c r="B3187" i="5"/>
  <c r="A3187" i="5"/>
  <c r="B3186" i="5"/>
  <c r="A3186" i="5"/>
  <c r="B3185" i="5"/>
  <c r="A3185" i="5"/>
  <c r="B3184" i="5"/>
  <c r="A3184" i="5"/>
  <c r="B3183" i="5"/>
  <c r="A3183" i="5"/>
  <c r="B3182" i="5"/>
  <c r="A3182" i="5"/>
  <c r="B3181" i="5"/>
  <c r="A3181" i="5"/>
  <c r="B3180" i="5"/>
  <c r="A3180" i="5"/>
  <c r="B3179" i="5"/>
  <c r="A3179" i="5"/>
  <c r="B3178" i="5"/>
  <c r="A3178" i="5"/>
  <c r="B3177" i="5"/>
  <c r="A3177" i="5"/>
  <c r="B3176" i="5"/>
  <c r="A3176" i="5"/>
  <c r="B3175" i="5"/>
  <c r="A3175" i="5"/>
  <c r="B3174" i="5"/>
  <c r="A3174" i="5"/>
  <c r="B3173" i="5"/>
  <c r="A3173" i="5"/>
  <c r="B3172" i="5"/>
  <c r="A3172" i="5"/>
  <c r="B3171" i="5"/>
  <c r="A3171" i="5"/>
  <c r="B3170" i="5"/>
  <c r="A3170" i="5"/>
  <c r="B3169" i="5"/>
  <c r="A3169" i="5"/>
  <c r="B3168" i="5"/>
  <c r="A3168" i="5"/>
  <c r="B3167" i="5"/>
  <c r="A3167" i="5"/>
  <c r="B3166" i="5"/>
  <c r="A3166" i="5"/>
  <c r="B3165" i="5"/>
  <c r="A3165" i="5"/>
  <c r="B3164" i="5"/>
  <c r="A3164" i="5"/>
  <c r="B3163" i="5"/>
  <c r="A3163" i="5"/>
  <c r="B3162" i="5"/>
  <c r="A3162" i="5"/>
  <c r="B3161" i="5"/>
  <c r="A3161" i="5"/>
  <c r="B3160" i="5"/>
  <c r="A3160" i="5"/>
  <c r="B3159" i="5"/>
  <c r="A3159" i="5"/>
  <c r="B3158" i="5"/>
  <c r="A3158" i="5"/>
  <c r="B3157" i="5"/>
  <c r="A3157" i="5"/>
  <c r="B3156" i="5"/>
  <c r="A3156" i="5"/>
  <c r="B3155" i="5"/>
  <c r="A3155" i="5"/>
  <c r="B3154" i="5"/>
  <c r="A3154" i="5"/>
  <c r="B3153" i="5"/>
  <c r="A3153" i="5"/>
  <c r="B3152" i="5"/>
  <c r="A3152" i="5"/>
  <c r="B3151" i="5"/>
  <c r="A3151" i="5"/>
  <c r="B3150" i="5"/>
  <c r="A3150" i="5"/>
  <c r="B3149" i="5"/>
  <c r="A3149" i="5"/>
  <c r="B3148" i="5"/>
  <c r="A3148" i="5"/>
  <c r="B3147" i="5"/>
  <c r="A3147" i="5"/>
  <c r="B3146" i="5"/>
  <c r="A3146" i="5"/>
  <c r="B3145" i="5"/>
  <c r="A3145" i="5"/>
  <c r="B3144" i="5"/>
  <c r="A3144" i="5"/>
  <c r="B3143" i="5"/>
  <c r="A3143" i="5"/>
  <c r="B3142" i="5"/>
  <c r="A3142" i="5"/>
  <c r="B3141" i="5"/>
  <c r="A3141" i="5"/>
  <c r="B3140" i="5"/>
  <c r="A3140" i="5"/>
  <c r="B3139" i="5"/>
  <c r="A3139" i="5"/>
  <c r="B3138" i="5"/>
  <c r="A3138" i="5"/>
  <c r="B3137" i="5"/>
  <c r="A3137" i="5"/>
  <c r="B3136" i="5"/>
  <c r="A3136" i="5"/>
  <c r="B3135" i="5"/>
  <c r="A3135" i="5"/>
  <c r="B3134" i="5"/>
  <c r="A3134" i="5"/>
  <c r="B3133" i="5"/>
  <c r="A3133" i="5"/>
  <c r="B3132" i="5"/>
  <c r="A3132" i="5"/>
  <c r="B3131" i="5"/>
  <c r="A3131" i="5"/>
  <c r="B3130" i="5"/>
  <c r="A3130" i="5"/>
  <c r="B3129" i="5"/>
  <c r="A3129" i="5"/>
  <c r="B3128" i="5"/>
  <c r="A3128" i="5"/>
  <c r="B3127" i="5"/>
  <c r="A3127" i="5"/>
  <c r="B3126" i="5"/>
  <c r="A3126" i="5"/>
  <c r="B3125" i="5"/>
  <c r="A3125" i="5"/>
  <c r="B3124" i="5"/>
  <c r="A3124" i="5"/>
  <c r="B3123" i="5"/>
  <c r="A3123" i="5"/>
  <c r="B3122" i="5"/>
  <c r="A3122" i="5"/>
  <c r="B3121" i="5"/>
  <c r="A3121" i="5"/>
  <c r="B3120" i="5"/>
  <c r="A3120" i="5"/>
  <c r="B3119" i="5"/>
  <c r="A3119" i="5"/>
  <c r="B3118" i="5"/>
  <c r="A3118" i="5"/>
  <c r="B3117" i="5"/>
  <c r="A3117" i="5"/>
  <c r="B3116" i="5"/>
  <c r="A3116" i="5"/>
  <c r="B3115" i="5"/>
  <c r="A3115" i="5"/>
  <c r="B3114" i="5"/>
  <c r="A3114" i="5"/>
  <c r="B3113" i="5"/>
  <c r="A3113" i="5"/>
  <c r="B3112" i="5"/>
  <c r="A3112" i="5"/>
  <c r="B3111" i="5"/>
  <c r="A3111" i="5"/>
  <c r="B3110" i="5"/>
  <c r="A3110" i="5"/>
  <c r="B3109" i="5"/>
  <c r="A3109" i="5"/>
  <c r="B3108" i="5"/>
  <c r="A3108" i="5"/>
  <c r="B3107" i="5"/>
  <c r="A3107" i="5"/>
  <c r="B3106" i="5"/>
  <c r="A3106" i="5"/>
  <c r="B3105" i="5"/>
  <c r="A3105" i="5"/>
  <c r="B3104" i="5"/>
  <c r="A3104" i="5"/>
  <c r="B3103" i="5"/>
  <c r="A3103" i="5"/>
  <c r="B3102" i="5"/>
  <c r="A3102" i="5"/>
  <c r="B3101" i="5"/>
  <c r="A3101" i="5"/>
  <c r="B3100" i="5"/>
  <c r="A3100" i="5"/>
  <c r="B3099" i="5"/>
  <c r="A3099" i="5"/>
  <c r="B3098" i="5"/>
  <c r="A3098" i="5"/>
  <c r="B3097" i="5"/>
  <c r="A3097" i="5"/>
  <c r="B3096" i="5"/>
  <c r="A3096" i="5"/>
  <c r="B3095" i="5"/>
  <c r="A3095" i="5"/>
  <c r="B3094" i="5"/>
  <c r="A3094" i="5"/>
  <c r="B3093" i="5"/>
  <c r="A3093" i="5"/>
  <c r="B3092" i="5"/>
  <c r="A3092" i="5"/>
  <c r="B3091" i="5"/>
  <c r="A3091" i="5"/>
  <c r="B3090" i="5"/>
  <c r="A3090" i="5"/>
  <c r="B3089" i="5"/>
  <c r="A3089" i="5"/>
  <c r="B3088" i="5"/>
  <c r="A3088" i="5"/>
  <c r="B3087" i="5"/>
  <c r="A3087" i="5"/>
  <c r="B3086" i="5"/>
  <c r="A3086" i="5"/>
  <c r="B3085" i="5"/>
  <c r="A3085" i="5"/>
  <c r="B3084" i="5"/>
  <c r="A3084" i="5"/>
  <c r="B3083" i="5"/>
  <c r="A3083" i="5"/>
  <c r="B3082" i="5"/>
  <c r="A3082" i="5"/>
  <c r="B3081" i="5"/>
  <c r="A3081" i="5"/>
  <c r="B3080" i="5"/>
  <c r="A3080" i="5"/>
  <c r="B3079" i="5"/>
  <c r="A3079" i="5"/>
  <c r="B3078" i="5"/>
  <c r="A3078" i="5"/>
  <c r="B3077" i="5"/>
  <c r="A3077" i="5"/>
  <c r="B3076" i="5"/>
  <c r="A3076" i="5"/>
  <c r="B3075" i="5"/>
  <c r="A3075" i="5"/>
  <c r="B3074" i="5"/>
  <c r="A3074" i="5"/>
  <c r="B3073" i="5"/>
  <c r="A3073" i="5"/>
  <c r="B3072" i="5"/>
  <c r="A3072" i="5"/>
  <c r="B3071" i="5"/>
  <c r="A3071" i="5"/>
  <c r="B3070" i="5"/>
  <c r="A3070" i="5"/>
  <c r="B3069" i="5"/>
  <c r="A3069" i="5"/>
  <c r="B3068" i="5"/>
  <c r="A3068" i="5"/>
  <c r="B3067" i="5"/>
  <c r="A3067" i="5"/>
  <c r="B3066" i="5"/>
  <c r="A3066" i="5"/>
  <c r="B3065" i="5"/>
  <c r="A3065" i="5"/>
  <c r="B3064" i="5"/>
  <c r="A3064" i="5"/>
  <c r="B3063" i="5"/>
  <c r="A3063" i="5"/>
  <c r="B3062" i="5"/>
  <c r="A3062" i="5"/>
  <c r="B3061" i="5"/>
  <c r="A3061" i="5"/>
  <c r="B3060" i="5"/>
  <c r="A3060" i="5"/>
  <c r="B3059" i="5"/>
  <c r="A3059" i="5"/>
  <c r="B3058" i="5"/>
  <c r="A3058" i="5"/>
  <c r="B3057" i="5"/>
  <c r="A3057" i="5"/>
  <c r="B3056" i="5"/>
  <c r="A3056" i="5"/>
  <c r="B3055" i="5"/>
  <c r="A3055" i="5"/>
  <c r="B3054" i="5"/>
  <c r="A3054" i="5"/>
  <c r="B3053" i="5"/>
  <c r="A3053" i="5"/>
  <c r="B3052" i="5"/>
  <c r="A3052" i="5"/>
  <c r="B3051" i="5"/>
  <c r="A3051" i="5"/>
  <c r="B3050" i="5"/>
  <c r="A3050" i="5"/>
  <c r="B3049" i="5"/>
  <c r="A3049" i="5"/>
  <c r="B3048" i="5"/>
  <c r="A3048" i="5"/>
  <c r="B3047" i="5"/>
  <c r="A3047" i="5"/>
  <c r="B3046" i="5"/>
  <c r="A3046" i="5"/>
  <c r="B3045" i="5"/>
  <c r="A3045" i="5"/>
  <c r="B3044" i="5"/>
  <c r="A3044" i="5"/>
  <c r="B3043" i="5"/>
  <c r="A3043" i="5"/>
  <c r="B3042" i="5"/>
  <c r="A3042" i="5"/>
  <c r="B3041" i="5"/>
  <c r="A3041" i="5"/>
  <c r="B3040" i="5"/>
  <c r="A3040" i="5"/>
  <c r="B3039" i="5"/>
  <c r="A3039" i="5"/>
  <c r="B3038" i="5"/>
  <c r="A3038" i="5"/>
  <c r="B3037" i="5"/>
  <c r="A3037" i="5"/>
  <c r="B3036" i="5"/>
  <c r="A3036" i="5"/>
  <c r="B3035" i="5"/>
  <c r="A3035" i="5"/>
  <c r="B3034" i="5"/>
  <c r="A3034" i="5"/>
  <c r="B3033" i="5"/>
  <c r="A3033" i="5"/>
  <c r="B3032" i="5"/>
  <c r="A3032" i="5"/>
  <c r="B3031" i="5"/>
  <c r="A3031" i="5"/>
  <c r="B3030" i="5"/>
  <c r="A3030" i="5"/>
  <c r="B3029" i="5"/>
  <c r="A3029" i="5"/>
  <c r="B3028" i="5"/>
  <c r="A3028" i="5"/>
  <c r="B3027" i="5"/>
  <c r="A3027" i="5"/>
  <c r="B3026" i="5"/>
  <c r="A3026" i="5"/>
  <c r="B3025" i="5"/>
  <c r="A3025" i="5"/>
  <c r="B3024" i="5"/>
  <c r="A3024" i="5"/>
  <c r="B3023" i="5"/>
  <c r="A3023" i="5"/>
  <c r="B3022" i="5"/>
  <c r="A3022" i="5"/>
  <c r="B3021" i="5"/>
  <c r="A3021" i="5"/>
  <c r="B3020" i="5"/>
  <c r="A3020" i="5"/>
  <c r="B3019" i="5"/>
  <c r="A3019" i="5"/>
  <c r="B3018" i="5"/>
  <c r="A3018" i="5"/>
  <c r="B3017" i="5"/>
  <c r="A3017" i="5"/>
  <c r="B3016" i="5"/>
  <c r="A3016" i="5"/>
  <c r="B3015" i="5"/>
  <c r="A3015" i="5"/>
  <c r="B3014" i="5"/>
  <c r="A3014" i="5"/>
  <c r="B3013" i="5"/>
  <c r="A3013" i="5"/>
  <c r="B3012" i="5"/>
  <c r="A3012" i="5"/>
  <c r="B3011" i="5"/>
  <c r="A3011" i="5"/>
  <c r="B3010" i="5"/>
  <c r="A3010" i="5"/>
  <c r="B3009" i="5"/>
  <c r="A3009" i="5"/>
  <c r="B3008" i="5"/>
  <c r="A3008" i="5"/>
  <c r="B3007" i="5"/>
  <c r="A3007" i="5"/>
  <c r="B3006" i="5"/>
  <c r="A3006" i="5"/>
  <c r="B3005" i="5"/>
  <c r="A3005" i="5"/>
  <c r="B3004" i="5"/>
  <c r="A3004" i="5"/>
  <c r="B3003" i="5"/>
  <c r="A3003" i="5"/>
  <c r="B3002" i="5"/>
  <c r="A3002" i="5"/>
  <c r="B3001" i="5"/>
  <c r="A3001" i="5"/>
  <c r="B3000" i="5"/>
  <c r="A3000" i="5"/>
  <c r="B2999" i="5"/>
  <c r="A2999" i="5"/>
  <c r="B2998" i="5"/>
  <c r="A2998" i="5"/>
  <c r="B2997" i="5"/>
  <c r="A2997" i="5"/>
  <c r="B2996" i="5"/>
  <c r="A2996" i="5"/>
  <c r="B2995" i="5"/>
  <c r="A2995" i="5"/>
  <c r="B2994" i="5"/>
  <c r="A2994" i="5"/>
  <c r="B2993" i="5"/>
  <c r="A2993" i="5"/>
  <c r="B2992" i="5"/>
  <c r="A2992" i="5"/>
  <c r="B2991" i="5"/>
  <c r="A2991" i="5"/>
  <c r="B2990" i="5"/>
  <c r="A2990" i="5"/>
  <c r="B2989" i="5"/>
  <c r="A2989" i="5"/>
  <c r="B2988" i="5"/>
  <c r="A2988" i="5"/>
  <c r="B2987" i="5"/>
  <c r="A2987" i="5"/>
  <c r="B2986" i="5"/>
  <c r="A2986" i="5"/>
  <c r="B2985" i="5"/>
  <c r="A2985" i="5"/>
  <c r="B2984" i="5"/>
  <c r="A2984" i="5"/>
  <c r="B2983" i="5"/>
  <c r="A2983" i="5"/>
  <c r="B2982" i="5"/>
  <c r="A2982" i="5"/>
  <c r="B2981" i="5"/>
  <c r="A2981" i="5"/>
  <c r="B2980" i="5"/>
  <c r="A2980" i="5"/>
  <c r="B2979" i="5"/>
  <c r="A2979" i="5"/>
  <c r="B2978" i="5"/>
  <c r="A2978" i="5"/>
  <c r="B2977" i="5"/>
  <c r="A2977" i="5"/>
  <c r="B2976" i="5"/>
  <c r="A2976" i="5"/>
  <c r="B2975" i="5"/>
  <c r="A2975" i="5"/>
  <c r="B2974" i="5"/>
  <c r="A2974" i="5"/>
  <c r="B2973" i="5"/>
  <c r="A2973" i="5"/>
  <c r="B2972" i="5"/>
  <c r="A2972" i="5"/>
  <c r="B2971" i="5"/>
  <c r="A2971" i="5"/>
  <c r="B2970" i="5"/>
  <c r="A2970" i="5"/>
  <c r="B2969" i="5"/>
  <c r="A2969" i="5"/>
  <c r="B2968" i="5"/>
  <c r="A2968" i="5"/>
  <c r="B2967" i="5"/>
  <c r="A2967" i="5"/>
  <c r="B2966" i="5"/>
  <c r="A2966" i="5"/>
  <c r="B2965" i="5"/>
  <c r="A2965" i="5"/>
  <c r="B2964" i="5"/>
  <c r="A2964" i="5"/>
  <c r="B2963" i="5"/>
  <c r="A2963" i="5"/>
  <c r="B2962" i="5"/>
  <c r="A2962" i="5"/>
  <c r="B2961" i="5"/>
  <c r="A2961" i="5"/>
  <c r="B2960" i="5"/>
  <c r="A2960" i="5"/>
  <c r="B2959" i="5"/>
  <c r="A2959" i="5"/>
  <c r="B2958" i="5"/>
  <c r="A2958" i="5"/>
  <c r="B2957" i="5"/>
  <c r="A2957" i="5"/>
  <c r="B2956" i="5"/>
  <c r="A2956" i="5"/>
  <c r="B2955" i="5"/>
  <c r="A2955" i="5"/>
  <c r="B2954" i="5"/>
  <c r="A2954" i="5"/>
  <c r="B2953" i="5"/>
  <c r="A2953" i="5"/>
  <c r="B2952" i="5"/>
  <c r="A2952" i="5"/>
  <c r="B2951" i="5"/>
  <c r="A2951" i="5"/>
  <c r="B2950" i="5"/>
  <c r="A2950" i="5"/>
  <c r="B2949" i="5"/>
  <c r="A2949" i="5"/>
  <c r="B2948" i="5"/>
  <c r="A2948" i="5"/>
  <c r="B2947" i="5"/>
  <c r="A2947" i="5"/>
  <c r="B2946" i="5"/>
  <c r="A2946" i="5"/>
  <c r="B2945" i="5"/>
  <c r="A2945" i="5"/>
  <c r="B2944" i="5"/>
  <c r="A2944" i="5"/>
  <c r="B2943" i="5"/>
  <c r="A2943" i="5"/>
  <c r="B2942" i="5"/>
  <c r="A2942" i="5"/>
  <c r="B2941" i="5"/>
  <c r="A2941" i="5"/>
  <c r="B2940" i="5"/>
  <c r="A2940" i="5"/>
  <c r="B2939" i="5"/>
  <c r="A2939" i="5"/>
  <c r="B2938" i="5"/>
  <c r="A2938" i="5"/>
  <c r="B2937" i="5"/>
  <c r="A2937" i="5"/>
  <c r="B2936" i="5"/>
  <c r="A2936" i="5"/>
  <c r="B2935" i="5"/>
  <c r="A2935" i="5"/>
  <c r="B2934" i="5"/>
  <c r="A2934" i="5"/>
  <c r="B2933" i="5"/>
  <c r="A2933" i="5"/>
  <c r="B2932" i="5"/>
  <c r="A2932" i="5"/>
  <c r="B2931" i="5"/>
  <c r="A2931" i="5"/>
  <c r="B2930" i="5"/>
  <c r="A2930" i="5"/>
  <c r="B2929" i="5"/>
  <c r="A2929" i="5"/>
  <c r="B2928" i="5"/>
  <c r="A2928" i="5"/>
  <c r="B2927" i="5"/>
  <c r="A2927" i="5"/>
  <c r="B2926" i="5"/>
  <c r="A2926" i="5"/>
  <c r="B2925" i="5"/>
  <c r="A2925" i="5"/>
  <c r="B2924" i="5"/>
  <c r="A2924" i="5"/>
  <c r="B2923" i="5"/>
  <c r="A2923" i="5"/>
  <c r="B2922" i="5"/>
  <c r="A2922" i="5"/>
  <c r="B2921" i="5"/>
  <c r="A2921" i="5"/>
  <c r="B2920" i="5"/>
  <c r="A2920" i="5"/>
  <c r="B2919" i="5"/>
  <c r="A2919" i="5"/>
  <c r="B2918" i="5"/>
  <c r="A2918" i="5"/>
  <c r="B2917" i="5"/>
  <c r="A2917" i="5"/>
  <c r="B2916" i="5"/>
  <c r="A2916" i="5"/>
  <c r="B2915" i="5"/>
  <c r="A2915" i="5"/>
  <c r="B2914" i="5"/>
  <c r="A2914" i="5"/>
  <c r="B2913" i="5"/>
  <c r="A2913" i="5"/>
  <c r="B2912" i="5"/>
  <c r="A2912" i="5"/>
  <c r="B2911" i="5"/>
  <c r="A2911" i="5"/>
  <c r="B2910" i="5"/>
  <c r="A2910" i="5"/>
  <c r="B2909" i="5"/>
  <c r="A2909" i="5"/>
  <c r="B2908" i="5"/>
  <c r="A2908" i="5"/>
  <c r="B2907" i="5"/>
  <c r="A2907" i="5"/>
  <c r="B2906" i="5"/>
  <c r="A2906" i="5"/>
  <c r="B2905" i="5"/>
  <c r="A2905" i="5"/>
  <c r="B2904" i="5"/>
  <c r="A2904" i="5"/>
  <c r="B2903" i="5"/>
  <c r="A2903" i="5"/>
  <c r="B2902" i="5"/>
  <c r="A2902" i="5"/>
  <c r="B2901" i="5"/>
  <c r="A2901" i="5"/>
  <c r="B2900" i="5"/>
  <c r="A2900" i="5"/>
  <c r="B2899" i="5"/>
  <c r="A2899" i="5"/>
  <c r="B2898" i="5"/>
  <c r="A2898" i="5"/>
  <c r="B2897" i="5"/>
  <c r="A2897" i="5"/>
  <c r="B2896" i="5"/>
  <c r="A2896" i="5"/>
  <c r="B2895" i="5"/>
  <c r="A2895" i="5"/>
  <c r="B2894" i="5"/>
  <c r="A2894" i="5"/>
  <c r="B2893" i="5"/>
  <c r="A2893" i="5"/>
  <c r="B2892" i="5"/>
  <c r="A2892" i="5"/>
  <c r="B2891" i="5"/>
  <c r="A2891" i="5"/>
  <c r="B2890" i="5"/>
  <c r="A2890" i="5"/>
  <c r="B2889" i="5"/>
  <c r="A2889" i="5"/>
  <c r="B2888" i="5"/>
  <c r="A2888" i="5"/>
  <c r="B2887" i="5"/>
  <c r="A2887" i="5"/>
  <c r="B2886" i="5"/>
  <c r="A2886" i="5"/>
  <c r="B2885" i="5"/>
  <c r="A2885" i="5"/>
  <c r="B2884" i="5"/>
  <c r="A2884" i="5"/>
  <c r="B2883" i="5"/>
  <c r="A2883" i="5"/>
  <c r="B2882" i="5"/>
  <c r="A2882" i="5"/>
  <c r="B2881" i="5"/>
  <c r="A2881" i="5"/>
  <c r="B2880" i="5"/>
  <c r="A2880" i="5"/>
  <c r="B2879" i="5"/>
  <c r="A2879" i="5"/>
  <c r="B2878" i="5"/>
  <c r="A2878" i="5"/>
  <c r="B2877" i="5"/>
  <c r="A2877" i="5"/>
  <c r="B2876" i="5"/>
  <c r="A2876" i="5"/>
  <c r="B2875" i="5"/>
  <c r="A2875" i="5"/>
  <c r="B2874" i="5"/>
  <c r="A2874" i="5"/>
  <c r="B2873" i="5"/>
  <c r="A2873" i="5"/>
  <c r="B2872" i="5"/>
  <c r="A2872" i="5"/>
  <c r="B2871" i="5"/>
  <c r="A2871" i="5"/>
  <c r="B2870" i="5"/>
  <c r="A2870" i="5"/>
  <c r="B2869" i="5"/>
  <c r="A2869" i="5"/>
  <c r="B2868" i="5"/>
  <c r="A2868" i="5"/>
  <c r="B2867" i="5"/>
  <c r="A2867" i="5"/>
  <c r="B2866" i="5"/>
  <c r="A2866" i="5"/>
  <c r="B2865" i="5"/>
  <c r="A2865" i="5"/>
  <c r="B2864" i="5"/>
  <c r="A2864" i="5"/>
  <c r="B2863" i="5"/>
  <c r="A2863" i="5"/>
  <c r="B2862" i="5"/>
  <c r="A2862" i="5"/>
  <c r="B2861" i="5"/>
  <c r="A2861" i="5"/>
  <c r="B2860" i="5"/>
  <c r="A2860" i="5"/>
  <c r="B2859" i="5"/>
  <c r="A2859" i="5"/>
  <c r="B2858" i="5"/>
  <c r="A2858" i="5"/>
  <c r="B2857" i="5"/>
  <c r="A2857" i="5"/>
  <c r="B2856" i="5"/>
  <c r="A2856" i="5"/>
  <c r="B2855" i="5"/>
  <c r="A2855" i="5"/>
  <c r="B2854" i="5"/>
  <c r="A2854" i="5"/>
  <c r="B2853" i="5"/>
  <c r="A2853" i="5"/>
  <c r="B2852" i="5"/>
  <c r="A2852" i="5"/>
  <c r="B2851" i="5"/>
  <c r="A2851" i="5"/>
  <c r="B2850" i="5"/>
  <c r="A2850" i="5"/>
  <c r="B2849" i="5"/>
  <c r="A2849" i="5"/>
  <c r="B2848" i="5"/>
  <c r="A2848" i="5"/>
  <c r="B2847" i="5"/>
  <c r="A2847" i="5"/>
  <c r="B2846" i="5"/>
  <c r="A2846" i="5"/>
  <c r="B2845" i="5"/>
  <c r="A2845" i="5"/>
  <c r="B2844" i="5"/>
  <c r="A2844" i="5"/>
  <c r="B2843" i="5"/>
  <c r="A2843" i="5"/>
  <c r="B2842" i="5"/>
  <c r="A2842" i="5"/>
  <c r="B2841" i="5"/>
  <c r="A2841" i="5"/>
  <c r="B2840" i="5"/>
  <c r="A2840" i="5"/>
  <c r="B2839" i="5"/>
  <c r="A2839" i="5"/>
  <c r="B2838" i="5"/>
  <c r="A2838" i="5"/>
  <c r="B2837" i="5"/>
  <c r="A2837" i="5"/>
  <c r="B2836" i="5"/>
  <c r="A2836" i="5"/>
  <c r="B2835" i="5"/>
  <c r="A2835" i="5"/>
  <c r="B2834" i="5"/>
  <c r="A2834" i="5"/>
  <c r="B2833" i="5"/>
  <c r="A2833" i="5"/>
  <c r="B2832" i="5"/>
  <c r="A2832" i="5"/>
  <c r="B2831" i="5"/>
  <c r="A2831" i="5"/>
  <c r="B2830" i="5"/>
  <c r="A2830" i="5"/>
  <c r="B2829" i="5"/>
  <c r="A2829" i="5"/>
  <c r="B2828" i="5"/>
  <c r="A2828" i="5"/>
  <c r="B2827" i="5"/>
  <c r="A2827" i="5"/>
  <c r="B2826" i="5"/>
  <c r="A2826" i="5"/>
  <c r="B2825" i="5"/>
  <c r="A2825" i="5"/>
  <c r="B2824" i="5"/>
  <c r="A2824" i="5"/>
  <c r="B2823" i="5"/>
  <c r="A2823" i="5"/>
  <c r="B2822" i="5"/>
  <c r="A2822" i="5"/>
  <c r="B2821" i="5"/>
  <c r="A2821" i="5"/>
  <c r="B2820" i="5"/>
  <c r="A2820" i="5"/>
  <c r="B2819" i="5"/>
  <c r="A2819" i="5"/>
  <c r="B2818" i="5"/>
  <c r="A2818" i="5"/>
  <c r="B2817" i="5"/>
  <c r="A2817" i="5"/>
  <c r="B2816" i="5"/>
  <c r="A2816" i="5"/>
  <c r="B2815" i="5"/>
  <c r="A2815" i="5"/>
  <c r="B2814" i="5"/>
  <c r="A2814" i="5"/>
  <c r="B2813" i="5"/>
  <c r="A2813" i="5"/>
  <c r="B2812" i="5"/>
  <c r="A2812" i="5"/>
  <c r="B2811" i="5"/>
  <c r="A2811" i="5"/>
  <c r="B2810" i="5"/>
  <c r="A2810" i="5"/>
  <c r="B2809" i="5"/>
  <c r="A2809" i="5"/>
  <c r="B2808" i="5"/>
  <c r="A2808" i="5"/>
  <c r="B2807" i="5"/>
  <c r="A2807" i="5"/>
  <c r="B2806" i="5"/>
  <c r="A2806" i="5"/>
  <c r="B2805" i="5"/>
  <c r="A2805" i="5"/>
  <c r="B2804" i="5"/>
  <c r="A2804" i="5"/>
  <c r="B2803" i="5"/>
  <c r="A2803" i="5"/>
  <c r="B2802" i="5"/>
  <c r="A2802" i="5"/>
  <c r="B2801" i="5"/>
  <c r="A2801" i="5"/>
  <c r="B2800" i="5"/>
  <c r="A2800" i="5"/>
  <c r="B2799" i="5"/>
  <c r="A2799" i="5"/>
  <c r="B2798" i="5"/>
  <c r="A2798" i="5"/>
  <c r="B2797" i="5"/>
  <c r="A2797" i="5"/>
  <c r="B2796" i="5"/>
  <c r="A2796" i="5"/>
  <c r="B2795" i="5"/>
  <c r="A2795" i="5"/>
  <c r="B2794" i="5"/>
  <c r="A2794" i="5"/>
  <c r="B2793" i="5"/>
  <c r="A2793" i="5"/>
  <c r="B2792" i="5"/>
  <c r="A2792" i="5"/>
  <c r="B2791" i="5"/>
  <c r="A2791" i="5"/>
  <c r="B2790" i="5"/>
  <c r="A2790" i="5"/>
  <c r="B2789" i="5"/>
  <c r="A2789" i="5"/>
  <c r="B2788" i="5"/>
  <c r="A2788" i="5"/>
  <c r="B2787" i="5"/>
  <c r="A2787" i="5"/>
  <c r="B2786" i="5"/>
  <c r="A2786" i="5"/>
  <c r="B2785" i="5"/>
  <c r="A2785" i="5"/>
  <c r="B2784" i="5"/>
  <c r="A2784" i="5"/>
  <c r="B2783" i="5"/>
  <c r="A2783" i="5"/>
  <c r="B2782" i="5"/>
  <c r="A2782" i="5"/>
  <c r="B2781" i="5"/>
  <c r="A2781" i="5"/>
  <c r="B2780" i="5"/>
  <c r="A2780" i="5"/>
  <c r="B2779" i="5"/>
  <c r="A2779" i="5"/>
  <c r="B2778" i="5"/>
  <c r="A2778" i="5"/>
  <c r="B2777" i="5"/>
  <c r="A2777" i="5"/>
  <c r="B2776" i="5"/>
  <c r="A2776" i="5"/>
  <c r="B2775" i="5"/>
  <c r="A2775" i="5"/>
  <c r="B2774" i="5"/>
  <c r="A2774" i="5"/>
  <c r="B2773" i="5"/>
  <c r="A2773" i="5"/>
  <c r="B2772" i="5"/>
  <c r="A2772" i="5"/>
  <c r="B2771" i="5"/>
  <c r="A2771" i="5"/>
  <c r="B2770" i="5"/>
  <c r="A2770" i="5"/>
  <c r="B2769" i="5"/>
  <c r="A2769" i="5"/>
  <c r="B2768" i="5"/>
  <c r="A2768" i="5"/>
  <c r="B2767" i="5"/>
  <c r="A2767" i="5"/>
  <c r="B2766" i="5"/>
  <c r="A2766" i="5"/>
  <c r="B2765" i="5"/>
  <c r="A2765" i="5"/>
  <c r="B2764" i="5"/>
  <c r="A2764" i="5"/>
  <c r="B2763" i="5"/>
  <c r="A2763" i="5"/>
  <c r="B2762" i="5"/>
  <c r="A2762" i="5"/>
  <c r="B2761" i="5"/>
  <c r="A2761" i="5"/>
  <c r="B2760" i="5"/>
  <c r="A2760" i="5"/>
  <c r="B2759" i="5"/>
  <c r="A2759" i="5"/>
  <c r="B2758" i="5"/>
  <c r="A2758" i="5"/>
  <c r="B2757" i="5"/>
  <c r="A2757" i="5"/>
  <c r="B2756" i="5"/>
  <c r="A2756" i="5"/>
  <c r="B2755" i="5"/>
  <c r="A2755" i="5"/>
  <c r="B2754" i="5"/>
  <c r="A2754" i="5"/>
  <c r="B2753" i="5"/>
  <c r="A2753" i="5"/>
  <c r="B2752" i="5"/>
  <c r="A2752" i="5"/>
  <c r="B2751" i="5"/>
  <c r="A2751" i="5"/>
  <c r="B2750" i="5"/>
  <c r="A2750" i="5"/>
  <c r="B2749" i="5"/>
  <c r="A2749" i="5"/>
  <c r="B2748" i="5"/>
  <c r="A2748" i="5"/>
  <c r="B2747" i="5"/>
  <c r="A2747" i="5"/>
  <c r="B2746" i="5"/>
  <c r="A2746" i="5"/>
  <c r="B2745" i="5"/>
  <c r="A2745" i="5"/>
  <c r="B2744" i="5"/>
  <c r="A2744" i="5"/>
  <c r="B2743" i="5"/>
  <c r="A2743" i="5"/>
  <c r="B2742" i="5"/>
  <c r="A2742" i="5"/>
  <c r="B2741" i="5"/>
  <c r="A2741" i="5"/>
  <c r="B2740" i="5"/>
  <c r="A2740" i="5"/>
  <c r="B2739" i="5"/>
  <c r="A2739" i="5"/>
  <c r="B2738" i="5"/>
  <c r="A2738" i="5"/>
  <c r="B2737" i="5"/>
  <c r="A2737" i="5"/>
  <c r="B2736" i="5"/>
  <c r="A2736" i="5"/>
  <c r="B2735" i="5"/>
  <c r="A2735" i="5"/>
  <c r="B2734" i="5"/>
  <c r="A2734" i="5"/>
  <c r="B2733" i="5"/>
  <c r="A2733" i="5"/>
  <c r="B2732" i="5"/>
  <c r="A2732" i="5"/>
  <c r="B2731" i="5"/>
  <c r="A2731" i="5"/>
  <c r="B2730" i="5"/>
  <c r="A2730" i="5"/>
  <c r="B2729" i="5"/>
  <c r="A2729" i="5"/>
  <c r="B2728" i="5"/>
  <c r="A2728" i="5"/>
  <c r="B2727" i="5"/>
  <c r="A2727" i="5"/>
  <c r="B2726" i="5"/>
  <c r="A2726" i="5"/>
  <c r="B2725" i="5"/>
  <c r="A2725" i="5"/>
  <c r="B2724" i="5"/>
  <c r="A2724" i="5"/>
  <c r="B2723" i="5"/>
  <c r="A2723" i="5"/>
  <c r="B2722" i="5"/>
  <c r="A2722" i="5"/>
  <c r="B2721" i="5"/>
  <c r="A2721" i="5"/>
  <c r="B2720" i="5"/>
  <c r="A2720" i="5"/>
  <c r="B2719" i="5"/>
  <c r="A2719" i="5"/>
  <c r="B2718" i="5"/>
  <c r="A2718" i="5"/>
  <c r="B2717" i="5"/>
  <c r="A2717" i="5"/>
  <c r="B2716" i="5"/>
  <c r="A2716" i="5"/>
  <c r="B2715" i="5"/>
  <c r="A2715" i="5"/>
  <c r="B2714" i="5"/>
  <c r="A2714" i="5"/>
  <c r="B2713" i="5"/>
  <c r="A2713" i="5"/>
  <c r="B2712" i="5"/>
  <c r="A2712" i="5"/>
  <c r="B2711" i="5"/>
  <c r="A2711" i="5"/>
  <c r="B2710" i="5"/>
  <c r="A2710" i="5"/>
  <c r="B2709" i="5"/>
  <c r="A2709" i="5"/>
  <c r="B2708" i="5"/>
  <c r="A2708" i="5"/>
  <c r="B2707" i="5"/>
  <c r="A2707" i="5"/>
  <c r="B2706" i="5"/>
  <c r="A2706" i="5"/>
  <c r="B2705" i="5"/>
  <c r="A2705" i="5"/>
  <c r="B2704" i="5"/>
  <c r="A2704" i="5"/>
  <c r="B2703" i="5"/>
  <c r="A2703" i="5"/>
  <c r="B2702" i="5"/>
  <c r="A2702" i="5"/>
  <c r="B2701" i="5"/>
  <c r="A2701" i="5"/>
  <c r="B2700" i="5"/>
  <c r="A2700" i="5"/>
  <c r="B2699" i="5"/>
  <c r="A2699" i="5"/>
  <c r="B2698" i="5"/>
  <c r="A2698" i="5"/>
  <c r="B2697" i="5"/>
  <c r="A2697" i="5"/>
  <c r="B2696" i="5"/>
  <c r="A2696" i="5"/>
  <c r="B2695" i="5"/>
  <c r="A2695" i="5"/>
  <c r="B2694" i="5"/>
  <c r="A2694" i="5"/>
  <c r="B2693" i="5"/>
  <c r="A2693" i="5"/>
  <c r="B2692" i="5"/>
  <c r="A2692" i="5"/>
  <c r="B2691" i="5"/>
  <c r="A2691" i="5"/>
  <c r="B2690" i="5"/>
  <c r="A2690" i="5"/>
  <c r="B2689" i="5"/>
  <c r="A2689" i="5"/>
  <c r="B2688" i="5"/>
  <c r="A2688" i="5"/>
  <c r="B2687" i="5"/>
  <c r="A2687" i="5"/>
  <c r="B2686" i="5"/>
  <c r="A2686" i="5"/>
  <c r="B2685" i="5"/>
  <c r="A2685" i="5"/>
  <c r="B2684" i="5"/>
  <c r="A2684" i="5"/>
  <c r="B2683" i="5"/>
  <c r="A2683" i="5"/>
  <c r="B2682" i="5"/>
  <c r="A2682" i="5"/>
  <c r="B2681" i="5"/>
  <c r="A2681" i="5"/>
  <c r="B2680" i="5"/>
  <c r="A2680" i="5"/>
  <c r="B2679" i="5"/>
  <c r="A2679" i="5"/>
  <c r="B2678" i="5"/>
  <c r="A2678" i="5"/>
  <c r="B2677" i="5"/>
  <c r="A2677" i="5"/>
  <c r="B2676" i="5"/>
  <c r="A2676" i="5"/>
  <c r="B2675" i="5"/>
  <c r="A2675" i="5"/>
  <c r="B2674" i="5"/>
  <c r="A2674" i="5"/>
  <c r="B2673" i="5"/>
  <c r="A2673" i="5"/>
  <c r="B2672" i="5"/>
  <c r="A2672" i="5"/>
  <c r="B2671" i="5"/>
  <c r="A2671" i="5"/>
  <c r="B2670" i="5"/>
  <c r="A2670" i="5"/>
  <c r="B2669" i="5"/>
  <c r="A2669" i="5"/>
  <c r="B2668" i="5"/>
  <c r="A2668" i="5"/>
  <c r="B2667" i="5"/>
  <c r="A2667" i="5"/>
  <c r="B2666" i="5"/>
  <c r="A2666" i="5"/>
  <c r="B2665" i="5"/>
  <c r="A2665" i="5"/>
  <c r="B2664" i="5"/>
  <c r="A2664" i="5"/>
  <c r="B2663" i="5"/>
  <c r="A2663" i="5"/>
  <c r="B2662" i="5"/>
  <c r="A2662" i="5"/>
  <c r="B2661" i="5"/>
  <c r="A2661" i="5"/>
  <c r="B2660" i="5"/>
  <c r="A2660" i="5"/>
  <c r="B2659" i="5"/>
  <c r="A2659" i="5"/>
  <c r="B2658" i="5"/>
  <c r="A2658" i="5"/>
  <c r="B2657" i="5"/>
  <c r="A2657" i="5"/>
  <c r="B2656" i="5"/>
  <c r="A2656" i="5"/>
  <c r="B2655" i="5"/>
  <c r="A2655" i="5"/>
  <c r="B2654" i="5"/>
  <c r="A2654" i="5"/>
  <c r="B2653" i="5"/>
  <c r="A2653" i="5"/>
  <c r="B2652" i="5"/>
  <c r="A2652" i="5"/>
  <c r="B2651" i="5"/>
  <c r="A2651" i="5"/>
  <c r="B2650" i="5"/>
  <c r="A2650" i="5"/>
  <c r="B2649" i="5"/>
  <c r="A2649" i="5"/>
  <c r="B2648" i="5"/>
  <c r="A2648" i="5"/>
  <c r="B2647" i="5"/>
  <c r="A2647" i="5"/>
  <c r="B2646" i="5"/>
  <c r="A2646" i="5"/>
  <c r="B2645" i="5"/>
  <c r="A2645" i="5"/>
  <c r="B2644" i="5"/>
  <c r="A2644" i="5"/>
  <c r="B2643" i="5"/>
  <c r="A2643" i="5"/>
  <c r="B2642" i="5"/>
  <c r="A2642" i="5"/>
  <c r="B2641" i="5"/>
  <c r="A2641" i="5"/>
  <c r="B2640" i="5"/>
  <c r="A2640" i="5"/>
  <c r="B2639" i="5"/>
  <c r="A2639" i="5"/>
  <c r="B2638" i="5"/>
  <c r="A2638" i="5"/>
  <c r="B2637" i="5"/>
  <c r="A2637" i="5"/>
  <c r="B2636" i="5"/>
  <c r="A2636" i="5"/>
  <c r="B2635" i="5"/>
  <c r="A2635" i="5"/>
  <c r="B2634" i="5"/>
  <c r="A2634" i="5"/>
  <c r="B2633" i="5"/>
  <c r="A2633" i="5"/>
  <c r="B2632" i="5"/>
  <c r="A2632" i="5"/>
  <c r="B2631" i="5"/>
  <c r="A2631" i="5"/>
  <c r="B2630" i="5"/>
  <c r="A2630" i="5"/>
  <c r="B2629" i="5"/>
  <c r="A2629" i="5"/>
  <c r="B2628" i="5"/>
  <c r="A2628" i="5"/>
  <c r="B2627" i="5"/>
  <c r="A2627" i="5"/>
  <c r="B2626" i="5"/>
  <c r="A2626" i="5"/>
  <c r="B2625" i="5"/>
  <c r="A2625" i="5"/>
  <c r="B2624" i="5"/>
  <c r="A2624" i="5"/>
  <c r="B2623" i="5"/>
  <c r="A2623" i="5"/>
  <c r="B2622" i="5"/>
  <c r="A2622" i="5"/>
  <c r="B2621" i="5"/>
  <c r="A2621" i="5"/>
  <c r="B2620" i="5"/>
  <c r="A2620" i="5"/>
  <c r="B2619" i="5"/>
  <c r="A2619" i="5"/>
  <c r="B2618" i="5"/>
  <c r="A2618" i="5"/>
  <c r="B2617" i="5"/>
  <c r="A2617" i="5"/>
  <c r="B2616" i="5"/>
  <c r="A2616" i="5"/>
  <c r="B2615" i="5"/>
  <c r="A2615" i="5"/>
  <c r="B2614" i="5"/>
  <c r="A2614" i="5"/>
  <c r="B2613" i="5"/>
  <c r="A2613" i="5"/>
  <c r="B2612" i="5"/>
  <c r="A2612" i="5"/>
  <c r="B2611" i="5"/>
  <c r="A2611" i="5"/>
  <c r="B2610" i="5"/>
  <c r="A2610" i="5"/>
  <c r="B2609" i="5"/>
  <c r="A2609" i="5"/>
  <c r="B2608" i="5"/>
  <c r="A2608" i="5"/>
  <c r="B2607" i="5"/>
  <c r="A2607" i="5"/>
  <c r="B2606" i="5"/>
  <c r="A2606" i="5"/>
  <c r="B2605" i="5"/>
  <c r="A2605" i="5"/>
  <c r="B2604" i="5"/>
  <c r="A2604" i="5"/>
  <c r="B2603" i="5"/>
  <c r="A2603" i="5"/>
  <c r="B2602" i="5"/>
  <c r="A2602" i="5"/>
  <c r="B2601" i="5"/>
  <c r="A2601" i="5"/>
  <c r="B2600" i="5"/>
  <c r="A2600" i="5"/>
  <c r="B2599" i="5"/>
  <c r="A2599" i="5"/>
  <c r="B2598" i="5"/>
  <c r="A2598" i="5"/>
  <c r="B2597" i="5"/>
  <c r="A2597" i="5"/>
  <c r="B2596" i="5"/>
  <c r="A2596" i="5"/>
  <c r="B2595" i="5"/>
  <c r="A2595" i="5"/>
  <c r="B2594" i="5"/>
  <c r="A2594" i="5"/>
  <c r="B2593" i="5"/>
  <c r="A2593" i="5"/>
  <c r="B2592" i="5"/>
  <c r="A2592" i="5"/>
  <c r="B2591" i="5"/>
  <c r="A2591" i="5"/>
  <c r="B2590" i="5"/>
  <c r="A2590" i="5"/>
  <c r="B2589" i="5"/>
  <c r="A2589" i="5"/>
  <c r="B2588" i="5"/>
  <c r="A2588" i="5"/>
  <c r="B2587" i="5"/>
  <c r="A2587" i="5"/>
  <c r="B2586" i="5"/>
  <c r="A2586" i="5"/>
  <c r="B2585" i="5"/>
  <c r="A2585" i="5"/>
  <c r="B2584" i="5"/>
  <c r="A2584" i="5"/>
  <c r="B2583" i="5"/>
  <c r="A2583" i="5"/>
  <c r="B2582" i="5"/>
  <c r="A2582" i="5"/>
  <c r="B2581" i="5"/>
  <c r="A2581" i="5"/>
  <c r="B2580" i="5"/>
  <c r="A2580" i="5"/>
  <c r="B2579" i="5"/>
  <c r="A2579" i="5"/>
  <c r="B2578" i="5"/>
  <c r="A2578" i="5"/>
  <c r="B2577" i="5"/>
  <c r="A2577" i="5"/>
  <c r="B2576" i="5"/>
  <c r="A2576" i="5"/>
  <c r="B2575" i="5"/>
  <c r="A2575" i="5"/>
  <c r="B2574" i="5"/>
  <c r="A2574" i="5"/>
  <c r="B2573" i="5"/>
  <c r="A2573" i="5"/>
  <c r="B2572" i="5"/>
  <c r="A2572" i="5"/>
  <c r="B2571" i="5"/>
  <c r="A2571" i="5"/>
  <c r="B2570" i="5"/>
  <c r="A2570" i="5"/>
  <c r="B2569" i="5"/>
  <c r="A2569" i="5"/>
  <c r="B2568" i="5"/>
  <c r="A2568" i="5"/>
  <c r="B2567" i="5"/>
  <c r="A2567" i="5"/>
  <c r="B2566" i="5"/>
  <c r="A2566" i="5"/>
  <c r="B2565" i="5"/>
  <c r="A2565" i="5"/>
  <c r="B2564" i="5"/>
  <c r="A2564" i="5"/>
  <c r="B2563" i="5"/>
  <c r="A2563" i="5"/>
  <c r="B2562" i="5"/>
  <c r="A2562" i="5"/>
  <c r="B2561" i="5"/>
  <c r="A2561" i="5"/>
  <c r="B2560" i="5"/>
  <c r="A2560" i="5"/>
  <c r="B2559" i="5"/>
  <c r="A2559" i="5"/>
  <c r="B2558" i="5"/>
  <c r="A2558" i="5"/>
  <c r="B2557" i="5"/>
  <c r="A2557" i="5"/>
  <c r="B2556" i="5"/>
  <c r="A2556" i="5"/>
  <c r="B2555" i="5"/>
  <c r="A2555" i="5"/>
  <c r="B2554" i="5"/>
  <c r="A2554" i="5"/>
  <c r="B2553" i="5"/>
  <c r="A2553" i="5"/>
  <c r="B2552" i="5"/>
  <c r="A2552" i="5"/>
  <c r="B2551" i="5"/>
  <c r="A2551" i="5"/>
  <c r="B2550" i="5"/>
  <c r="A2550" i="5"/>
  <c r="B2549" i="5"/>
  <c r="A2549" i="5"/>
  <c r="B2548" i="5"/>
  <c r="A2548" i="5"/>
  <c r="B2547" i="5"/>
  <c r="A2547" i="5"/>
  <c r="B2546" i="5"/>
  <c r="A2546" i="5"/>
  <c r="B2545" i="5"/>
  <c r="A2545" i="5"/>
  <c r="B2544" i="5"/>
  <c r="A2544" i="5"/>
  <c r="B2543" i="5"/>
  <c r="A2543" i="5"/>
  <c r="B2542" i="5"/>
  <c r="A2542" i="5"/>
  <c r="B2541" i="5"/>
  <c r="A2541" i="5"/>
  <c r="B2540" i="5"/>
  <c r="A2540" i="5"/>
  <c r="B2539" i="5"/>
  <c r="A2539" i="5"/>
  <c r="B2538" i="5"/>
  <c r="A2538" i="5"/>
  <c r="B2537" i="5"/>
  <c r="A2537" i="5"/>
  <c r="B2536" i="5"/>
  <c r="A2536" i="5"/>
  <c r="B2535" i="5"/>
  <c r="A2535" i="5"/>
  <c r="B2534" i="5"/>
  <c r="A2534" i="5"/>
  <c r="B2533" i="5"/>
  <c r="A2533" i="5"/>
  <c r="B2532" i="5"/>
  <c r="A2532" i="5"/>
  <c r="B2531" i="5"/>
  <c r="A2531" i="5"/>
  <c r="B2530" i="5"/>
  <c r="A2530" i="5"/>
  <c r="B2529" i="5"/>
  <c r="A2529" i="5"/>
  <c r="B2528" i="5"/>
  <c r="A2528" i="5"/>
  <c r="B2527" i="5"/>
  <c r="A2527" i="5"/>
  <c r="B2526" i="5"/>
  <c r="A2526" i="5"/>
  <c r="B2525" i="5"/>
  <c r="A2525" i="5"/>
  <c r="B2524" i="5"/>
  <c r="A2524" i="5"/>
  <c r="B2523" i="5"/>
  <c r="A2523" i="5"/>
  <c r="B2522" i="5"/>
  <c r="A2522" i="5"/>
  <c r="B2521" i="5"/>
  <c r="A2521" i="5"/>
  <c r="B2520" i="5"/>
  <c r="A2520" i="5"/>
  <c r="B2519" i="5"/>
  <c r="A2519" i="5"/>
  <c r="B2518" i="5"/>
  <c r="A2518" i="5"/>
  <c r="B2517" i="5"/>
  <c r="A2517" i="5"/>
  <c r="B2516" i="5"/>
  <c r="A2516" i="5"/>
  <c r="B2515" i="5"/>
  <c r="A2515" i="5"/>
  <c r="B2514" i="5"/>
  <c r="A2514" i="5"/>
  <c r="B2513" i="5"/>
  <c r="A2513" i="5"/>
  <c r="B2512" i="5"/>
  <c r="A2512" i="5"/>
  <c r="B2511" i="5"/>
  <c r="A2511" i="5"/>
  <c r="B2510" i="5"/>
  <c r="A2510" i="5"/>
  <c r="B2509" i="5"/>
  <c r="A2509" i="5"/>
  <c r="B2508" i="5"/>
  <c r="A2508" i="5"/>
  <c r="B2507" i="5"/>
  <c r="A2507" i="5"/>
  <c r="B2506" i="5"/>
  <c r="A2506" i="5"/>
  <c r="B2505" i="5"/>
  <c r="A2505" i="5"/>
  <c r="B2504" i="5"/>
  <c r="A2504" i="5"/>
  <c r="B2503" i="5"/>
  <c r="A2503" i="5"/>
  <c r="B2502" i="5"/>
  <c r="A2502" i="5"/>
  <c r="B2501" i="5"/>
  <c r="A2501" i="5"/>
  <c r="B2500" i="5"/>
  <c r="A2500" i="5"/>
  <c r="B2499" i="5"/>
  <c r="A2499" i="5"/>
  <c r="B2498" i="5"/>
  <c r="A2498" i="5"/>
  <c r="B2497" i="5"/>
  <c r="A2497" i="5"/>
  <c r="B2496" i="5"/>
  <c r="A2496" i="5"/>
  <c r="B2495" i="5"/>
  <c r="A2495" i="5"/>
  <c r="B2494" i="5"/>
  <c r="A2494" i="5"/>
  <c r="B2493" i="5"/>
  <c r="A2493" i="5"/>
  <c r="B2492" i="5"/>
  <c r="A2492" i="5"/>
  <c r="B2491" i="5"/>
  <c r="A2491" i="5"/>
  <c r="B2490" i="5"/>
  <c r="A2490" i="5"/>
  <c r="B2489" i="5"/>
  <c r="A2489" i="5"/>
  <c r="B2488" i="5"/>
  <c r="A2488" i="5"/>
  <c r="B2487" i="5"/>
  <c r="A2487" i="5"/>
  <c r="B2486" i="5"/>
  <c r="A2486" i="5"/>
  <c r="B2485" i="5"/>
  <c r="A2485" i="5"/>
  <c r="B2484" i="5"/>
  <c r="A2484" i="5"/>
  <c r="B2483" i="5"/>
  <c r="A2483" i="5"/>
  <c r="B2482" i="5"/>
  <c r="A2482" i="5"/>
  <c r="B2481" i="5"/>
  <c r="A2481" i="5"/>
  <c r="B2480" i="5"/>
  <c r="A2480" i="5"/>
  <c r="B2479" i="5"/>
  <c r="A2479" i="5"/>
  <c r="B2478" i="5"/>
  <c r="A2478" i="5"/>
  <c r="B2477" i="5"/>
  <c r="A2477" i="5"/>
  <c r="B2476" i="5"/>
  <c r="A2476" i="5"/>
  <c r="B2475" i="5"/>
  <c r="A2475" i="5"/>
  <c r="B2474" i="5"/>
  <c r="A2474" i="5"/>
  <c r="B2473" i="5"/>
  <c r="A2473" i="5"/>
  <c r="B2472" i="5"/>
  <c r="A2472" i="5"/>
  <c r="B2471" i="5"/>
  <c r="A2471" i="5"/>
  <c r="B2470" i="5"/>
  <c r="A2470" i="5"/>
  <c r="B2469" i="5"/>
  <c r="A2469" i="5"/>
  <c r="B2468" i="5"/>
  <c r="A2468" i="5"/>
  <c r="B2467" i="5"/>
  <c r="A2467" i="5"/>
  <c r="B2466" i="5"/>
  <c r="A2466" i="5"/>
  <c r="B2465" i="5"/>
  <c r="A2465" i="5"/>
  <c r="B2464" i="5"/>
  <c r="A2464" i="5"/>
  <c r="B2463" i="5"/>
  <c r="A2463" i="5"/>
  <c r="B2462" i="5"/>
  <c r="A2462" i="5"/>
  <c r="B2461" i="5"/>
  <c r="A2461" i="5"/>
  <c r="B2460" i="5"/>
  <c r="A2460" i="5"/>
  <c r="B2459" i="5"/>
  <c r="A2459" i="5"/>
  <c r="B2458" i="5"/>
  <c r="A2458" i="5"/>
  <c r="B2457" i="5"/>
  <c r="A2457" i="5"/>
  <c r="B2456" i="5"/>
  <c r="A2456" i="5"/>
  <c r="B2455" i="5"/>
  <c r="A2455" i="5"/>
  <c r="B2454" i="5"/>
  <c r="A2454" i="5"/>
  <c r="B2453" i="5"/>
  <c r="A2453" i="5"/>
  <c r="B2452" i="5"/>
  <c r="A2452" i="5"/>
  <c r="B2451" i="5"/>
  <c r="A2451" i="5"/>
  <c r="B2450" i="5"/>
  <c r="A2450" i="5"/>
  <c r="B2449" i="5"/>
  <c r="A2449" i="5"/>
  <c r="B2448" i="5"/>
  <c r="A2448" i="5"/>
  <c r="B2447" i="5"/>
  <c r="A2447" i="5"/>
  <c r="B2446" i="5"/>
  <c r="A2446" i="5"/>
  <c r="B2445" i="5"/>
  <c r="A2445" i="5"/>
  <c r="B2444" i="5"/>
  <c r="A2444" i="5"/>
  <c r="B2443" i="5"/>
  <c r="A2443" i="5"/>
  <c r="B2442" i="5"/>
  <c r="A2442" i="5"/>
  <c r="B2441" i="5"/>
  <c r="A2441" i="5"/>
  <c r="B2440" i="5"/>
  <c r="A2440" i="5"/>
  <c r="B2439" i="5"/>
  <c r="A2439" i="5"/>
  <c r="B2438" i="5"/>
  <c r="A2438" i="5"/>
  <c r="B2437" i="5"/>
  <c r="A2437" i="5"/>
  <c r="B2436" i="5"/>
  <c r="A2436" i="5"/>
  <c r="B2435" i="5"/>
  <c r="A2435" i="5"/>
  <c r="B2434" i="5"/>
  <c r="A2434" i="5"/>
  <c r="B2433" i="5"/>
  <c r="A2433" i="5"/>
  <c r="B2432" i="5"/>
  <c r="A2432" i="5"/>
  <c r="B2431" i="5"/>
  <c r="A2431" i="5"/>
  <c r="B2430" i="5"/>
  <c r="A2430" i="5"/>
  <c r="B2429" i="5"/>
  <c r="A2429" i="5"/>
  <c r="B2428" i="5"/>
  <c r="A2428" i="5"/>
  <c r="B2427" i="5"/>
  <c r="A2427" i="5"/>
  <c r="B2426" i="5"/>
  <c r="A2426" i="5"/>
  <c r="B2425" i="5"/>
  <c r="A2425" i="5"/>
  <c r="B2424" i="5"/>
  <c r="A2424" i="5"/>
  <c r="B2423" i="5"/>
  <c r="A2423" i="5"/>
  <c r="B2422" i="5"/>
  <c r="A2422" i="5"/>
  <c r="B2421" i="5"/>
  <c r="A2421" i="5"/>
  <c r="B2420" i="5"/>
  <c r="A2420" i="5"/>
  <c r="B2419" i="5"/>
  <c r="A2419" i="5"/>
  <c r="B2418" i="5"/>
  <c r="A2418" i="5"/>
  <c r="B2417" i="5"/>
  <c r="A2417" i="5"/>
  <c r="B2416" i="5"/>
  <c r="A2416" i="5"/>
  <c r="B2415" i="5"/>
  <c r="A2415" i="5"/>
  <c r="B2414" i="5"/>
  <c r="A2414" i="5"/>
  <c r="B2413" i="5"/>
  <c r="A2413" i="5"/>
  <c r="B2412" i="5"/>
  <c r="A2412" i="5"/>
  <c r="B2411" i="5"/>
  <c r="A2411" i="5"/>
  <c r="B2410" i="5"/>
  <c r="A2410" i="5"/>
  <c r="B2409" i="5"/>
  <c r="A2409" i="5"/>
  <c r="B2408" i="5"/>
  <c r="A2408" i="5"/>
  <c r="B2407" i="5"/>
  <c r="A2407" i="5"/>
  <c r="B2406" i="5"/>
  <c r="A2406" i="5"/>
  <c r="B2405" i="5"/>
  <c r="A2405" i="5"/>
  <c r="B2404" i="5"/>
  <c r="A2404" i="5"/>
  <c r="B2403" i="5"/>
  <c r="A2403" i="5"/>
  <c r="B2402" i="5"/>
  <c r="A2402" i="5"/>
  <c r="B2401" i="5"/>
  <c r="A2401" i="5"/>
  <c r="B2400" i="5"/>
  <c r="A2400" i="5"/>
  <c r="B2399" i="5"/>
  <c r="A2399" i="5"/>
  <c r="B2398" i="5"/>
  <c r="A2398" i="5"/>
  <c r="B2397" i="5"/>
  <c r="A2397" i="5"/>
  <c r="B2396" i="5"/>
  <c r="A2396" i="5"/>
  <c r="B2395" i="5"/>
  <c r="A2395" i="5"/>
  <c r="B2394" i="5"/>
  <c r="A2394" i="5"/>
  <c r="B2393" i="5"/>
  <c r="A2393" i="5"/>
  <c r="B2392" i="5"/>
  <c r="A2392" i="5"/>
  <c r="B2391" i="5"/>
  <c r="A2391" i="5"/>
  <c r="B2390" i="5"/>
  <c r="A2390" i="5"/>
  <c r="B2389" i="5"/>
  <c r="A2389" i="5"/>
  <c r="B2388" i="5"/>
  <c r="A2388" i="5"/>
  <c r="B2387" i="5"/>
  <c r="A2387" i="5"/>
  <c r="B2386" i="5"/>
  <c r="A2386" i="5"/>
  <c r="B2385" i="5"/>
  <c r="A2385" i="5"/>
  <c r="B2384" i="5"/>
  <c r="A2384" i="5"/>
  <c r="B2383" i="5"/>
  <c r="A2383" i="5"/>
  <c r="B2382" i="5"/>
  <c r="A2382" i="5"/>
  <c r="B2381" i="5"/>
  <c r="A2381" i="5"/>
  <c r="B2380" i="5"/>
  <c r="A2380" i="5"/>
  <c r="B2379" i="5"/>
  <c r="A2379" i="5"/>
  <c r="B2378" i="5"/>
  <c r="A2378" i="5"/>
  <c r="B2377" i="5"/>
  <c r="A2377" i="5"/>
  <c r="B2376" i="5"/>
  <c r="A2376" i="5"/>
  <c r="B2375" i="5"/>
  <c r="A2375" i="5"/>
  <c r="B2374" i="5"/>
  <c r="A2374" i="5"/>
  <c r="B2373" i="5"/>
  <c r="A2373" i="5"/>
  <c r="B2372" i="5"/>
  <c r="A2372" i="5"/>
  <c r="B2371" i="5"/>
  <c r="A2371" i="5"/>
  <c r="B2370" i="5"/>
  <c r="A2370" i="5"/>
  <c r="B2369" i="5"/>
  <c r="A2369" i="5"/>
  <c r="B2368" i="5"/>
  <c r="A2368" i="5"/>
  <c r="B2367" i="5"/>
  <c r="A2367" i="5"/>
  <c r="B2366" i="5"/>
  <c r="A2366" i="5"/>
  <c r="B2365" i="5"/>
  <c r="A2365" i="5"/>
  <c r="B2364" i="5"/>
  <c r="A2364" i="5"/>
  <c r="B2363" i="5"/>
  <c r="A2363" i="5"/>
  <c r="B2362" i="5"/>
  <c r="A2362" i="5"/>
  <c r="B2361" i="5"/>
  <c r="A2361" i="5"/>
  <c r="B2360" i="5"/>
  <c r="A2360" i="5"/>
  <c r="B2359" i="5"/>
  <c r="A2359" i="5"/>
  <c r="B2358" i="5"/>
  <c r="A2358" i="5"/>
  <c r="B2357" i="5"/>
  <c r="A2357" i="5"/>
  <c r="B2356" i="5"/>
  <c r="A2356" i="5"/>
  <c r="B2355" i="5"/>
  <c r="A2355" i="5"/>
  <c r="B2354" i="5"/>
  <c r="A2354" i="5"/>
  <c r="B2353" i="5"/>
  <c r="A2353" i="5"/>
  <c r="B2352" i="5"/>
  <c r="A2352" i="5"/>
  <c r="B2351" i="5"/>
  <c r="A2351" i="5"/>
  <c r="B2350" i="5"/>
  <c r="A2350" i="5"/>
  <c r="B2349" i="5"/>
  <c r="A2349" i="5"/>
  <c r="B2348" i="5"/>
  <c r="A2348" i="5"/>
  <c r="B2347" i="5"/>
  <c r="A2347" i="5"/>
  <c r="B2346" i="5"/>
  <c r="A2346" i="5"/>
  <c r="B2345" i="5"/>
  <c r="A2345" i="5"/>
  <c r="B2344" i="5"/>
  <c r="A2344" i="5"/>
  <c r="B2343" i="5"/>
  <c r="A2343" i="5"/>
  <c r="B2342" i="5"/>
  <c r="A2342" i="5"/>
  <c r="B2341" i="5"/>
  <c r="A2341" i="5"/>
  <c r="B2340" i="5"/>
  <c r="A2340" i="5"/>
  <c r="B2339" i="5"/>
  <c r="A2339" i="5"/>
  <c r="B2338" i="5"/>
  <c r="A2338" i="5"/>
  <c r="B2337" i="5"/>
  <c r="A2337" i="5"/>
  <c r="B2336" i="5"/>
  <c r="A2336" i="5"/>
  <c r="B2335" i="5"/>
  <c r="A2335" i="5"/>
  <c r="B2334" i="5"/>
  <c r="A2334" i="5"/>
  <c r="B2333" i="5"/>
  <c r="A2333" i="5"/>
  <c r="B2332" i="5"/>
  <c r="A2332" i="5"/>
  <c r="B2331" i="5"/>
  <c r="A2331" i="5"/>
  <c r="B2330" i="5"/>
  <c r="A2330" i="5"/>
  <c r="B2329" i="5"/>
  <c r="A2329" i="5"/>
  <c r="B2328" i="5"/>
  <c r="A2328" i="5"/>
  <c r="B2327" i="5"/>
  <c r="A2327" i="5"/>
  <c r="B2326" i="5"/>
  <c r="A2326" i="5"/>
  <c r="B2325" i="5"/>
  <c r="A2325" i="5"/>
  <c r="B2324" i="5"/>
  <c r="A2324" i="5"/>
  <c r="B2323" i="5"/>
  <c r="A2323" i="5"/>
  <c r="B2322" i="5"/>
  <c r="A2322" i="5"/>
  <c r="B2321" i="5"/>
  <c r="A2321" i="5"/>
  <c r="B2320" i="5"/>
  <c r="A2320" i="5"/>
  <c r="B2319" i="5"/>
  <c r="A2319" i="5"/>
  <c r="B2318" i="5"/>
  <c r="A2318" i="5"/>
  <c r="B2317" i="5"/>
  <c r="A2317" i="5"/>
  <c r="B2316" i="5"/>
  <c r="A2316" i="5"/>
  <c r="B2315" i="5"/>
  <c r="A2315" i="5"/>
  <c r="B2314" i="5"/>
  <c r="A2314" i="5"/>
  <c r="B2313" i="5"/>
  <c r="A2313" i="5"/>
  <c r="B2312" i="5"/>
  <c r="A2312" i="5"/>
  <c r="B2311" i="5"/>
  <c r="A2311" i="5"/>
  <c r="B2310" i="5"/>
  <c r="A2310" i="5"/>
  <c r="B2309" i="5"/>
  <c r="A2309" i="5"/>
  <c r="B2308" i="5"/>
  <c r="A2308" i="5"/>
  <c r="B2307" i="5"/>
  <c r="A2307" i="5"/>
  <c r="B2306" i="5"/>
  <c r="A2306" i="5"/>
  <c r="B2305" i="5"/>
  <c r="A2305" i="5"/>
  <c r="B2304" i="5"/>
  <c r="A2304" i="5"/>
  <c r="B2303" i="5"/>
  <c r="A2303" i="5"/>
  <c r="B2302" i="5"/>
  <c r="A2302" i="5"/>
  <c r="B2301" i="5"/>
  <c r="A2301" i="5"/>
  <c r="B2300" i="5"/>
  <c r="A2300" i="5"/>
  <c r="B2299" i="5"/>
  <c r="A2299" i="5"/>
  <c r="B2298" i="5"/>
  <c r="A2298" i="5"/>
  <c r="B2297" i="5"/>
  <c r="A2297" i="5"/>
  <c r="B2296" i="5"/>
  <c r="A2296" i="5"/>
  <c r="B2295" i="5"/>
  <c r="A2295" i="5"/>
  <c r="B2294" i="5"/>
  <c r="A2294" i="5"/>
  <c r="B2293" i="5"/>
  <c r="A2293" i="5"/>
  <c r="B2292" i="5"/>
  <c r="A2292" i="5"/>
  <c r="B2291" i="5"/>
  <c r="A2291" i="5"/>
  <c r="B2290" i="5"/>
  <c r="A2290" i="5"/>
  <c r="B2289" i="5"/>
  <c r="A2289" i="5"/>
  <c r="B2288" i="5"/>
  <c r="A2288" i="5"/>
  <c r="B2287" i="5"/>
  <c r="A2287" i="5"/>
  <c r="B2286" i="5"/>
  <c r="A2286" i="5"/>
  <c r="B2285" i="5"/>
  <c r="A2285" i="5"/>
  <c r="B2284" i="5"/>
  <c r="A2284" i="5"/>
  <c r="B2283" i="5"/>
  <c r="A2283" i="5"/>
  <c r="B2282" i="5"/>
  <c r="A2282" i="5"/>
  <c r="B2281" i="5"/>
  <c r="A2281" i="5"/>
  <c r="B2280" i="5"/>
  <c r="A2280" i="5"/>
  <c r="B2279" i="5"/>
  <c r="A2279" i="5"/>
  <c r="B2278" i="5"/>
  <c r="A2278" i="5"/>
  <c r="B2277" i="5"/>
  <c r="A2277" i="5"/>
  <c r="B2276" i="5"/>
  <c r="A2276" i="5"/>
  <c r="B2275" i="5"/>
  <c r="A2275" i="5"/>
  <c r="B2274" i="5"/>
  <c r="A2274" i="5"/>
  <c r="B2273" i="5"/>
  <c r="A2273" i="5"/>
  <c r="B2272" i="5"/>
  <c r="A2272" i="5"/>
  <c r="B2271" i="5"/>
  <c r="A2271" i="5"/>
  <c r="B2270" i="5"/>
  <c r="A2270" i="5"/>
  <c r="B2269" i="5"/>
  <c r="A2269" i="5"/>
  <c r="B2268" i="5"/>
  <c r="A2268" i="5"/>
  <c r="B2267" i="5"/>
  <c r="A2267" i="5"/>
  <c r="B2266" i="5"/>
  <c r="A2266" i="5"/>
  <c r="B2265" i="5"/>
  <c r="A2265" i="5"/>
  <c r="B2264" i="5"/>
  <c r="A2264" i="5"/>
  <c r="B2263" i="5"/>
  <c r="A2263" i="5"/>
  <c r="B2262" i="5"/>
  <c r="A2262" i="5"/>
  <c r="B2261" i="5"/>
  <c r="A2261" i="5"/>
  <c r="B2260" i="5"/>
  <c r="A2260" i="5"/>
  <c r="B2259" i="5"/>
  <c r="A2259" i="5"/>
  <c r="B2258" i="5"/>
  <c r="A2258" i="5"/>
  <c r="B2257" i="5"/>
  <c r="A2257" i="5"/>
  <c r="B2256" i="5"/>
  <c r="A2256" i="5"/>
  <c r="B2255" i="5"/>
  <c r="A2255" i="5"/>
  <c r="B2254" i="5"/>
  <c r="A2254" i="5"/>
  <c r="B2253" i="5"/>
  <c r="A2253" i="5"/>
  <c r="B2252" i="5"/>
  <c r="A2252" i="5"/>
  <c r="B2251" i="5"/>
  <c r="A2251" i="5"/>
  <c r="B2250" i="5"/>
  <c r="A2250" i="5"/>
  <c r="B2249" i="5"/>
  <c r="A2249" i="5"/>
  <c r="B2248" i="5"/>
  <c r="A2248" i="5"/>
  <c r="B2247" i="5"/>
  <c r="A2247" i="5"/>
  <c r="B2246" i="5"/>
  <c r="A2246" i="5"/>
  <c r="B2245" i="5"/>
  <c r="A2245" i="5"/>
  <c r="B2244" i="5"/>
  <c r="A2244" i="5"/>
  <c r="B2243" i="5"/>
  <c r="A2243" i="5"/>
  <c r="B2242" i="5"/>
  <c r="A2242" i="5"/>
  <c r="B2241" i="5"/>
  <c r="A2241" i="5"/>
  <c r="B2240" i="5"/>
  <c r="A2240" i="5"/>
  <c r="B2239" i="5"/>
  <c r="A2239" i="5"/>
  <c r="B2238" i="5"/>
  <c r="A2238" i="5"/>
  <c r="B2237" i="5"/>
  <c r="A2237" i="5"/>
  <c r="B2236" i="5"/>
  <c r="A2236" i="5"/>
  <c r="B2235" i="5"/>
  <c r="A2235" i="5"/>
  <c r="B2234" i="5"/>
  <c r="A2234" i="5"/>
  <c r="B2233" i="5"/>
  <c r="A2233" i="5"/>
  <c r="B2232" i="5"/>
  <c r="A2232" i="5"/>
  <c r="B2231" i="5"/>
  <c r="A2231" i="5"/>
  <c r="B2230" i="5"/>
  <c r="A2230" i="5"/>
  <c r="B2229" i="5"/>
  <c r="A2229" i="5"/>
  <c r="B2228" i="5"/>
  <c r="A2228" i="5"/>
  <c r="B2227" i="5"/>
  <c r="A2227" i="5"/>
  <c r="B2226" i="5"/>
  <c r="A2226" i="5"/>
  <c r="B2225" i="5"/>
  <c r="A2225" i="5"/>
  <c r="B2224" i="5"/>
  <c r="A2224" i="5"/>
  <c r="B2223" i="5"/>
  <c r="A2223" i="5"/>
  <c r="B2222" i="5"/>
  <c r="A2222" i="5"/>
  <c r="B2221" i="5"/>
  <c r="A2221" i="5"/>
  <c r="B2220" i="5"/>
  <c r="A2220" i="5"/>
  <c r="B2219" i="5"/>
  <c r="A2219" i="5"/>
  <c r="B2218" i="5"/>
  <c r="A2218" i="5"/>
  <c r="B2217" i="5"/>
  <c r="A2217" i="5"/>
  <c r="B2216" i="5"/>
  <c r="A2216" i="5"/>
  <c r="B2215" i="5"/>
  <c r="A2215" i="5"/>
  <c r="B2214" i="5"/>
  <c r="A2214" i="5"/>
  <c r="B2213" i="5"/>
  <c r="A2213" i="5"/>
  <c r="B2212" i="5"/>
  <c r="A2212" i="5"/>
  <c r="B2211" i="5"/>
  <c r="A2211" i="5"/>
  <c r="B2210" i="5"/>
  <c r="A2210" i="5"/>
  <c r="B2209" i="5"/>
  <c r="A2209" i="5"/>
  <c r="B2208" i="5"/>
  <c r="A2208" i="5"/>
  <c r="B2207" i="5"/>
  <c r="A2207" i="5"/>
  <c r="B2206" i="5"/>
  <c r="A2206" i="5"/>
  <c r="B2205" i="5"/>
  <c r="A2205" i="5"/>
  <c r="B2204" i="5"/>
  <c r="A2204" i="5"/>
  <c r="B2203" i="5"/>
  <c r="A2203" i="5"/>
  <c r="B2202" i="5"/>
  <c r="A2202" i="5"/>
  <c r="B2201" i="5"/>
  <c r="A2201" i="5"/>
  <c r="B2200" i="5"/>
  <c r="A2200" i="5"/>
  <c r="B2199" i="5"/>
  <c r="A2199" i="5"/>
  <c r="B2198" i="5"/>
  <c r="A2198" i="5"/>
  <c r="B2197" i="5"/>
  <c r="A2197" i="5"/>
  <c r="B2196" i="5"/>
  <c r="A2196" i="5"/>
  <c r="B2195" i="5"/>
  <c r="A2195" i="5"/>
  <c r="B2194" i="5"/>
  <c r="A2194" i="5"/>
  <c r="B2193" i="5"/>
  <c r="A2193" i="5"/>
  <c r="B2192" i="5"/>
  <c r="A2192" i="5"/>
  <c r="B2191" i="5"/>
  <c r="A2191" i="5"/>
  <c r="B2190" i="5"/>
  <c r="A2190" i="5"/>
  <c r="B2189" i="5"/>
  <c r="A2189" i="5"/>
  <c r="B2188" i="5"/>
  <c r="A2188" i="5"/>
  <c r="B2187" i="5"/>
  <c r="A2187" i="5"/>
  <c r="B2186" i="5"/>
  <c r="A2186" i="5"/>
  <c r="B2185" i="5"/>
  <c r="A2185" i="5"/>
  <c r="B2184" i="5"/>
  <c r="A2184" i="5"/>
  <c r="B2183" i="5"/>
  <c r="A2183" i="5"/>
  <c r="B2182" i="5"/>
  <c r="A2182" i="5"/>
  <c r="B2181" i="5"/>
  <c r="A2181" i="5"/>
  <c r="B2180" i="5"/>
  <c r="A2180" i="5"/>
  <c r="B2179" i="5"/>
  <c r="A2179" i="5"/>
  <c r="B2178" i="5"/>
  <c r="A2178" i="5"/>
  <c r="B2177" i="5"/>
  <c r="A2177" i="5"/>
  <c r="B2176" i="5"/>
  <c r="A2176" i="5"/>
  <c r="B2175" i="5"/>
  <c r="A2175" i="5"/>
  <c r="B2174" i="5"/>
  <c r="A2174" i="5"/>
  <c r="B2173" i="5"/>
  <c r="A2173" i="5"/>
  <c r="B2172" i="5"/>
  <c r="A2172" i="5"/>
  <c r="B2171" i="5"/>
  <c r="A2171" i="5"/>
  <c r="B2170" i="5"/>
  <c r="A2170" i="5"/>
  <c r="B2169" i="5"/>
  <c r="A2169" i="5"/>
  <c r="B2168" i="5"/>
  <c r="A2168" i="5"/>
  <c r="B2167" i="5"/>
  <c r="A2167" i="5"/>
  <c r="B2166" i="5"/>
  <c r="A2166" i="5"/>
  <c r="B2165" i="5"/>
  <c r="A2165" i="5"/>
  <c r="B2164" i="5"/>
  <c r="A2164" i="5"/>
  <c r="B2163" i="5"/>
  <c r="A2163" i="5"/>
  <c r="B2162" i="5"/>
  <c r="A2162" i="5"/>
  <c r="B2161" i="5"/>
  <c r="A2161" i="5"/>
  <c r="B2160" i="5"/>
  <c r="A2160" i="5"/>
  <c r="B2159" i="5"/>
  <c r="A2159" i="5"/>
  <c r="B2158" i="5"/>
  <c r="A2158" i="5"/>
  <c r="B2157" i="5"/>
  <c r="A2157" i="5"/>
  <c r="B2156" i="5"/>
  <c r="A2156" i="5"/>
  <c r="B2155" i="5"/>
  <c r="A2155" i="5"/>
  <c r="B2154" i="5"/>
  <c r="A2154" i="5"/>
  <c r="B2153" i="5"/>
  <c r="A2153" i="5"/>
  <c r="B2152" i="5"/>
  <c r="A2152" i="5"/>
  <c r="B2151" i="5"/>
  <c r="A2151" i="5"/>
  <c r="B2150" i="5"/>
  <c r="A2150" i="5"/>
  <c r="B2149" i="5"/>
  <c r="A2149" i="5"/>
  <c r="B2148" i="5"/>
  <c r="A2148" i="5"/>
  <c r="B2147" i="5"/>
  <c r="A2147" i="5"/>
  <c r="B2146" i="5"/>
  <c r="A2146" i="5"/>
  <c r="B2145" i="5"/>
  <c r="A2145" i="5"/>
  <c r="B2144" i="5"/>
  <c r="A2144" i="5"/>
  <c r="B2143" i="5"/>
  <c r="A2143" i="5"/>
  <c r="B2142" i="5"/>
  <c r="A2142" i="5"/>
  <c r="B2141" i="5"/>
  <c r="A2141" i="5"/>
  <c r="B2140" i="5"/>
  <c r="A2140" i="5"/>
  <c r="B2139" i="5"/>
  <c r="A2139" i="5"/>
  <c r="B2138" i="5"/>
  <c r="A2138" i="5"/>
  <c r="B2137" i="5"/>
  <c r="A2137" i="5"/>
  <c r="B2136" i="5"/>
  <c r="A2136" i="5"/>
  <c r="B2135" i="5"/>
  <c r="A2135" i="5"/>
  <c r="B2134" i="5"/>
  <c r="A2134" i="5"/>
  <c r="B2133" i="5"/>
  <c r="A2133" i="5"/>
  <c r="B2132" i="5"/>
  <c r="A2132" i="5"/>
  <c r="B2131" i="5"/>
  <c r="A2131" i="5"/>
  <c r="B2130" i="5"/>
  <c r="A2130" i="5"/>
  <c r="B2129" i="5"/>
  <c r="A2129" i="5"/>
  <c r="B2128" i="5"/>
  <c r="A2128" i="5"/>
  <c r="B2127" i="5"/>
  <c r="A2127" i="5"/>
  <c r="B2126" i="5"/>
  <c r="A2126" i="5"/>
  <c r="B2125" i="5"/>
  <c r="A2125" i="5"/>
  <c r="B2124" i="5"/>
  <c r="A2124" i="5"/>
  <c r="B2123" i="5"/>
  <c r="A2123" i="5"/>
  <c r="B2122" i="5"/>
  <c r="A2122" i="5"/>
  <c r="B2121" i="5"/>
  <c r="A2121" i="5"/>
  <c r="B2120" i="5"/>
  <c r="A2120" i="5"/>
  <c r="B2119" i="5"/>
  <c r="A2119" i="5"/>
  <c r="B2118" i="5"/>
  <c r="A2118" i="5"/>
  <c r="B2117" i="5"/>
  <c r="A2117" i="5"/>
  <c r="B2116" i="5"/>
  <c r="A2116" i="5"/>
  <c r="B2115" i="5"/>
  <c r="A2115" i="5"/>
  <c r="B2114" i="5"/>
  <c r="A2114" i="5"/>
  <c r="B2113" i="5"/>
  <c r="A2113" i="5"/>
  <c r="B2112" i="5"/>
  <c r="A2112" i="5"/>
  <c r="B2111" i="5"/>
  <c r="A2111" i="5"/>
  <c r="B2110" i="5"/>
  <c r="A2110" i="5"/>
  <c r="B2109" i="5"/>
  <c r="A2109" i="5"/>
  <c r="B2108" i="5"/>
  <c r="A2108" i="5"/>
  <c r="B2107" i="5"/>
  <c r="A2107" i="5"/>
  <c r="B2106" i="5"/>
  <c r="A2106" i="5"/>
  <c r="B2105" i="5"/>
  <c r="A2105" i="5"/>
  <c r="B2104" i="5"/>
  <c r="A2104" i="5"/>
  <c r="B2103" i="5"/>
  <c r="A2103" i="5"/>
  <c r="B2102" i="5"/>
  <c r="A2102" i="5"/>
  <c r="B2101" i="5"/>
  <c r="A2101" i="5"/>
  <c r="B2100" i="5"/>
  <c r="A2100" i="5"/>
  <c r="B2099" i="5"/>
  <c r="A2099" i="5"/>
  <c r="B2098" i="5"/>
  <c r="A2098" i="5"/>
  <c r="B2097" i="5"/>
  <c r="A2097" i="5"/>
  <c r="B2096" i="5"/>
  <c r="A2096" i="5"/>
  <c r="B2095" i="5"/>
  <c r="A2095" i="5"/>
  <c r="B2094" i="5"/>
  <c r="A2094" i="5"/>
  <c r="B2093" i="5"/>
  <c r="A2093" i="5"/>
  <c r="B2092" i="5"/>
  <c r="A2092" i="5"/>
  <c r="B2091" i="5"/>
  <c r="A2091" i="5"/>
  <c r="B2090" i="5"/>
  <c r="A2090" i="5"/>
  <c r="B2089" i="5"/>
  <c r="A2089" i="5"/>
  <c r="B2088" i="5"/>
  <c r="A2088" i="5"/>
  <c r="B2087" i="5"/>
  <c r="A2087" i="5"/>
  <c r="B2086" i="5"/>
  <c r="A2086" i="5"/>
  <c r="B2085" i="5"/>
  <c r="A2085" i="5"/>
  <c r="B2084" i="5"/>
  <c r="A2084" i="5"/>
  <c r="B2083" i="5"/>
  <c r="A2083" i="5"/>
  <c r="B2082" i="5"/>
  <c r="A2082" i="5"/>
  <c r="B2081" i="5"/>
  <c r="A2081" i="5"/>
  <c r="B2080" i="5"/>
  <c r="A2080" i="5"/>
  <c r="B2079" i="5"/>
  <c r="A2079" i="5"/>
  <c r="B2078" i="5"/>
  <c r="A2078" i="5"/>
  <c r="B2077" i="5"/>
  <c r="A2077" i="5"/>
  <c r="B2076" i="5"/>
  <c r="A2076" i="5"/>
  <c r="B2075" i="5"/>
  <c r="A2075" i="5"/>
  <c r="B2074" i="5"/>
  <c r="A2074" i="5"/>
  <c r="B2073" i="5"/>
  <c r="A2073" i="5"/>
  <c r="B2072" i="5"/>
  <c r="A2072" i="5"/>
  <c r="B2071" i="5"/>
  <c r="A2071" i="5"/>
  <c r="B2070" i="5"/>
  <c r="A2070" i="5"/>
  <c r="B2069" i="5"/>
  <c r="A2069" i="5"/>
  <c r="B2068" i="5"/>
  <c r="A2068" i="5"/>
  <c r="B2067" i="5"/>
  <c r="A2067" i="5"/>
  <c r="B2066" i="5"/>
  <c r="A2066" i="5"/>
  <c r="B2065" i="5"/>
  <c r="A2065" i="5"/>
  <c r="B2064" i="5"/>
  <c r="A2064" i="5"/>
  <c r="B2063" i="5"/>
  <c r="A2063" i="5"/>
  <c r="B2062" i="5"/>
  <c r="A2062" i="5"/>
  <c r="B2061" i="5"/>
  <c r="A2061" i="5"/>
  <c r="B2060" i="5"/>
  <c r="A2060" i="5"/>
  <c r="B2059" i="5"/>
  <c r="A2059" i="5"/>
  <c r="B2058" i="5"/>
  <c r="A2058" i="5"/>
  <c r="B2057" i="5"/>
  <c r="A2057" i="5"/>
  <c r="B2056" i="5"/>
  <c r="A2056" i="5"/>
  <c r="B2055" i="5"/>
  <c r="A2055" i="5"/>
  <c r="B2054" i="5"/>
  <c r="A2054" i="5"/>
  <c r="B2053" i="5"/>
  <c r="A2053" i="5"/>
  <c r="B2052" i="5"/>
  <c r="A2052" i="5"/>
  <c r="B2051" i="5"/>
  <c r="A2051" i="5"/>
  <c r="B2050" i="5"/>
  <c r="A2050" i="5"/>
  <c r="B2049" i="5"/>
  <c r="A2049" i="5"/>
  <c r="B2048" i="5"/>
  <c r="A2048" i="5"/>
  <c r="B2047" i="5"/>
  <c r="A2047" i="5"/>
  <c r="B2046" i="5"/>
  <c r="A2046" i="5"/>
  <c r="B2045" i="5"/>
  <c r="A2045" i="5"/>
  <c r="B2044" i="5"/>
  <c r="A2044" i="5"/>
  <c r="B2043" i="5"/>
  <c r="A2043" i="5"/>
  <c r="B2042" i="5"/>
  <c r="A2042" i="5"/>
  <c r="B2041" i="5"/>
  <c r="A2041" i="5"/>
  <c r="B2040" i="5"/>
  <c r="A2040" i="5"/>
  <c r="B2039" i="5"/>
  <c r="A2039" i="5"/>
  <c r="B2038" i="5"/>
  <c r="A2038" i="5"/>
  <c r="B2037" i="5"/>
  <c r="A2037" i="5"/>
  <c r="B2036" i="5"/>
  <c r="A2036" i="5"/>
  <c r="B2035" i="5"/>
  <c r="A2035" i="5"/>
  <c r="B2034" i="5"/>
  <c r="A2034" i="5"/>
  <c r="B2033" i="5"/>
  <c r="A2033" i="5"/>
  <c r="B2032" i="5"/>
  <c r="A2032" i="5"/>
  <c r="B2031" i="5"/>
  <c r="A2031" i="5"/>
  <c r="B2030" i="5"/>
  <c r="A2030" i="5"/>
  <c r="B2029" i="5"/>
  <c r="A2029" i="5"/>
  <c r="B2028" i="5"/>
  <c r="A2028" i="5"/>
  <c r="B2027" i="5"/>
  <c r="A2027" i="5"/>
  <c r="B2026" i="5"/>
  <c r="A2026" i="5"/>
  <c r="B2025" i="5"/>
  <c r="A2025" i="5"/>
  <c r="B2024" i="5"/>
  <c r="A2024" i="5"/>
  <c r="B2023" i="5"/>
  <c r="A2023" i="5"/>
  <c r="B2022" i="5"/>
  <c r="A2022" i="5"/>
  <c r="B2021" i="5"/>
  <c r="A2021" i="5"/>
  <c r="B2020" i="5"/>
  <c r="A2020" i="5"/>
  <c r="B2019" i="5"/>
  <c r="A2019" i="5"/>
  <c r="B2018" i="5"/>
  <c r="A2018" i="5"/>
  <c r="B2017" i="5"/>
  <c r="A2017" i="5"/>
  <c r="B2016" i="5"/>
  <c r="A2016" i="5"/>
  <c r="B2015" i="5"/>
  <c r="A2015" i="5"/>
  <c r="B2014" i="5"/>
  <c r="A2014" i="5"/>
  <c r="B2013" i="5"/>
  <c r="A2013" i="5"/>
  <c r="B2012" i="5"/>
  <c r="A2012" i="5"/>
  <c r="B2011" i="5"/>
  <c r="A2011" i="5"/>
  <c r="B2010" i="5"/>
  <c r="A2010" i="5"/>
  <c r="B2009" i="5"/>
  <c r="A2009" i="5"/>
  <c r="B2008" i="5"/>
  <c r="A2008" i="5"/>
  <c r="B2007" i="5"/>
  <c r="A2007" i="5"/>
  <c r="B2006" i="5"/>
  <c r="A2006" i="5"/>
  <c r="B2005" i="5"/>
  <c r="A2005" i="5"/>
  <c r="B2004" i="5"/>
  <c r="A2004" i="5"/>
  <c r="B2003" i="5"/>
  <c r="A2003" i="5"/>
  <c r="B2002" i="5"/>
  <c r="A2002" i="5"/>
  <c r="B2001" i="5"/>
  <c r="A2001" i="5"/>
  <c r="B2000" i="5"/>
  <c r="A2000" i="5"/>
  <c r="B1999" i="5"/>
  <c r="A1999" i="5"/>
  <c r="B1998" i="5"/>
  <c r="A1998" i="5"/>
  <c r="B1997" i="5"/>
  <c r="A1997" i="5"/>
  <c r="B1996" i="5"/>
  <c r="A1996" i="5"/>
  <c r="B1995" i="5"/>
  <c r="A1995" i="5"/>
  <c r="B1994" i="5"/>
  <c r="A1994" i="5"/>
  <c r="B1993" i="5"/>
  <c r="A1993" i="5"/>
  <c r="B1992" i="5"/>
  <c r="A1992" i="5"/>
  <c r="B1991" i="5"/>
  <c r="A1991" i="5"/>
  <c r="B1990" i="5"/>
  <c r="A1990" i="5"/>
  <c r="B1989" i="5"/>
  <c r="A1989" i="5"/>
  <c r="B1988" i="5"/>
  <c r="A1988" i="5"/>
  <c r="B1987" i="5"/>
  <c r="A1987" i="5"/>
  <c r="B1986" i="5"/>
  <c r="A1986" i="5"/>
  <c r="B1985" i="5"/>
  <c r="A1985" i="5"/>
  <c r="B1984" i="5"/>
  <c r="A1984" i="5"/>
  <c r="B1983" i="5"/>
  <c r="A1983" i="5"/>
  <c r="B1982" i="5"/>
  <c r="A1982" i="5"/>
  <c r="B1981" i="5"/>
  <c r="A1981" i="5"/>
  <c r="B1980" i="5"/>
  <c r="A1980" i="5"/>
  <c r="B1979" i="5"/>
  <c r="A1979" i="5"/>
  <c r="B1978" i="5"/>
  <c r="A1978" i="5"/>
  <c r="B1977" i="5"/>
  <c r="A1977" i="5"/>
  <c r="B1976" i="5"/>
  <c r="A1976" i="5"/>
  <c r="B1975" i="5"/>
  <c r="A1975" i="5"/>
  <c r="B1974" i="5"/>
  <c r="A1974" i="5"/>
  <c r="B1973" i="5"/>
  <c r="A1973" i="5"/>
  <c r="B1972" i="5"/>
  <c r="A1972" i="5"/>
  <c r="B1971" i="5"/>
  <c r="A1971" i="5"/>
  <c r="B1970" i="5"/>
  <c r="A1970" i="5"/>
  <c r="B1969" i="5"/>
  <c r="A1969" i="5"/>
  <c r="B1968" i="5"/>
  <c r="A1968" i="5"/>
  <c r="B1967" i="5"/>
  <c r="A1967" i="5"/>
  <c r="B1966" i="5"/>
  <c r="A1966" i="5"/>
  <c r="B1965" i="5"/>
  <c r="A1965" i="5"/>
  <c r="B1964" i="5"/>
  <c r="A1964" i="5"/>
  <c r="B1963" i="5"/>
  <c r="A1963" i="5"/>
  <c r="B1962" i="5"/>
  <c r="A1962" i="5"/>
  <c r="B1961" i="5"/>
  <c r="A1961" i="5"/>
  <c r="B1960" i="5"/>
  <c r="A1960" i="5"/>
  <c r="B1959" i="5"/>
  <c r="A1959" i="5"/>
  <c r="B1958" i="5"/>
  <c r="A1958" i="5"/>
  <c r="B1957" i="5"/>
  <c r="A1957" i="5"/>
  <c r="B1956" i="5"/>
  <c r="A1956" i="5"/>
  <c r="B1955" i="5"/>
  <c r="A1955" i="5"/>
  <c r="B1954" i="5"/>
  <c r="A1954" i="5"/>
  <c r="B1953" i="5"/>
  <c r="A1953" i="5"/>
  <c r="B1952" i="5"/>
  <c r="A1952" i="5"/>
  <c r="B1951" i="5"/>
  <c r="A1951" i="5"/>
  <c r="B1950" i="5"/>
  <c r="A1950" i="5"/>
  <c r="B1949" i="5"/>
  <c r="A1949" i="5"/>
  <c r="B1948" i="5"/>
  <c r="A1948" i="5"/>
  <c r="B1947" i="5"/>
  <c r="A1947" i="5"/>
  <c r="B1946" i="5"/>
  <c r="A1946" i="5"/>
  <c r="B1945" i="5"/>
  <c r="A1945" i="5"/>
  <c r="B1944" i="5"/>
  <c r="A1944" i="5"/>
  <c r="B1943" i="5"/>
  <c r="A1943" i="5"/>
  <c r="B1942" i="5"/>
  <c r="A1942" i="5"/>
  <c r="B1941" i="5"/>
  <c r="A1941" i="5"/>
  <c r="B1940" i="5"/>
  <c r="A1940" i="5"/>
  <c r="B1939" i="5"/>
  <c r="A1939" i="5"/>
  <c r="B1938" i="5"/>
  <c r="A1938" i="5"/>
  <c r="B1937" i="5"/>
  <c r="A1937" i="5"/>
  <c r="B1936" i="5"/>
  <c r="A1936" i="5"/>
  <c r="B1935" i="5"/>
  <c r="A1935" i="5"/>
  <c r="B1934" i="5"/>
  <c r="A1934" i="5"/>
  <c r="B1933" i="5"/>
  <c r="A1933" i="5"/>
  <c r="B1932" i="5"/>
  <c r="A1932" i="5"/>
  <c r="B1931" i="5"/>
  <c r="A1931" i="5"/>
  <c r="B1930" i="5"/>
  <c r="A1930" i="5"/>
  <c r="B1929" i="5"/>
  <c r="A1929" i="5"/>
  <c r="B1928" i="5"/>
  <c r="A1928" i="5"/>
  <c r="B1927" i="5"/>
  <c r="A1927" i="5"/>
  <c r="B1926" i="5"/>
  <c r="A1926" i="5"/>
  <c r="B1925" i="5"/>
  <c r="A1925" i="5"/>
  <c r="B1924" i="5"/>
  <c r="A1924" i="5"/>
  <c r="B1923" i="5"/>
  <c r="A1923" i="5"/>
  <c r="B1922" i="5"/>
  <c r="A1922" i="5"/>
  <c r="B1921" i="5"/>
  <c r="A1921" i="5"/>
  <c r="B1920" i="5"/>
  <c r="A1920" i="5"/>
  <c r="B1919" i="5"/>
  <c r="A1919" i="5"/>
  <c r="B1918" i="5"/>
  <c r="A1918" i="5"/>
  <c r="B1917" i="5"/>
  <c r="A1917" i="5"/>
  <c r="B1916" i="5"/>
  <c r="A1916" i="5"/>
  <c r="B1915" i="5"/>
  <c r="A1915" i="5"/>
  <c r="B1914" i="5"/>
  <c r="A1914" i="5"/>
  <c r="B1913" i="5"/>
  <c r="A1913" i="5"/>
  <c r="B1912" i="5"/>
  <c r="A1912" i="5"/>
  <c r="B1911" i="5"/>
  <c r="A1911" i="5"/>
  <c r="B1910" i="5"/>
  <c r="A1910" i="5"/>
  <c r="B1909" i="5"/>
  <c r="A1909" i="5"/>
  <c r="B1908" i="5"/>
  <c r="A1908" i="5"/>
  <c r="B1907" i="5"/>
  <c r="A1907" i="5"/>
  <c r="B1906" i="5"/>
  <c r="A1906" i="5"/>
  <c r="B1905" i="5"/>
  <c r="A1905" i="5"/>
  <c r="B1904" i="5"/>
  <c r="A1904" i="5"/>
  <c r="B1903" i="5"/>
  <c r="A1903" i="5"/>
  <c r="B1902" i="5"/>
  <c r="A1902" i="5"/>
  <c r="B1901" i="5"/>
  <c r="A1901" i="5"/>
  <c r="B1900" i="5"/>
  <c r="A1900" i="5"/>
  <c r="B1899" i="5"/>
  <c r="A1899" i="5"/>
  <c r="B1898" i="5"/>
  <c r="A1898" i="5"/>
  <c r="B1897" i="5"/>
  <c r="A1897" i="5"/>
  <c r="B1896" i="5"/>
  <c r="A1896" i="5"/>
  <c r="B1895" i="5"/>
  <c r="A1895" i="5"/>
  <c r="B1894" i="5"/>
  <c r="A1894" i="5"/>
  <c r="B1893" i="5"/>
  <c r="A1893" i="5"/>
  <c r="B1892" i="5"/>
  <c r="A1892" i="5"/>
  <c r="B1891" i="5"/>
  <c r="A1891" i="5"/>
  <c r="B1890" i="5"/>
  <c r="A1890" i="5"/>
  <c r="B1889" i="5"/>
  <c r="A1889" i="5"/>
  <c r="B1888" i="5"/>
  <c r="A1888" i="5"/>
  <c r="B1887" i="5"/>
  <c r="A1887" i="5"/>
  <c r="B1886" i="5"/>
  <c r="A1886" i="5"/>
  <c r="B1885" i="5"/>
  <c r="A1885" i="5"/>
  <c r="B1884" i="5"/>
  <c r="A1884" i="5"/>
  <c r="B1883" i="5"/>
  <c r="A1883" i="5"/>
  <c r="B1882" i="5"/>
  <c r="A1882" i="5"/>
  <c r="B1881" i="5"/>
  <c r="A1881" i="5"/>
  <c r="B1880" i="5"/>
  <c r="A1880" i="5"/>
  <c r="B1879" i="5"/>
  <c r="A1879" i="5"/>
  <c r="B1878" i="5"/>
  <c r="A1878" i="5"/>
  <c r="B1877" i="5"/>
  <c r="A1877" i="5"/>
  <c r="B1876" i="5"/>
  <c r="A1876" i="5"/>
  <c r="B1875" i="5"/>
  <c r="A1875" i="5"/>
  <c r="B1874" i="5"/>
  <c r="A1874" i="5"/>
  <c r="B1873" i="5"/>
  <c r="A1873" i="5"/>
  <c r="B1872" i="5"/>
  <c r="A1872" i="5"/>
  <c r="B1871" i="5"/>
  <c r="A1871" i="5"/>
  <c r="B1870" i="5"/>
  <c r="A1870" i="5"/>
  <c r="B1869" i="5"/>
  <c r="A1869" i="5"/>
  <c r="B1868" i="5"/>
  <c r="A1868" i="5"/>
  <c r="B1867" i="5"/>
  <c r="A1867" i="5"/>
  <c r="B1866" i="5"/>
  <c r="A1866" i="5"/>
  <c r="B1865" i="5"/>
  <c r="A1865" i="5"/>
  <c r="B1864" i="5"/>
  <c r="A1864" i="5"/>
  <c r="B1863" i="5"/>
  <c r="A1863" i="5"/>
  <c r="B1862" i="5"/>
  <c r="A1862" i="5"/>
  <c r="B1861" i="5"/>
  <c r="A1861" i="5"/>
  <c r="B1860" i="5"/>
  <c r="A1860" i="5"/>
  <c r="B1859" i="5"/>
  <c r="A1859" i="5"/>
  <c r="B1858" i="5"/>
  <c r="A1858" i="5"/>
  <c r="B1857" i="5"/>
  <c r="A1857" i="5"/>
  <c r="B1856" i="5"/>
  <c r="A1856" i="5"/>
  <c r="B1855" i="5"/>
  <c r="A1855" i="5"/>
  <c r="B1854" i="5"/>
  <c r="A1854" i="5"/>
  <c r="B1853" i="5"/>
  <c r="A1853" i="5"/>
  <c r="B1852" i="5"/>
  <c r="A1852" i="5"/>
  <c r="B1851" i="5"/>
  <c r="A1851" i="5"/>
  <c r="B1850" i="5"/>
  <c r="A1850" i="5"/>
  <c r="B1849" i="5"/>
  <c r="A1849" i="5"/>
  <c r="B1848" i="5"/>
  <c r="A1848" i="5"/>
  <c r="B1847" i="5"/>
  <c r="A1847" i="5"/>
  <c r="B1846" i="5"/>
  <c r="A1846" i="5"/>
  <c r="B1845" i="5"/>
  <c r="A1845" i="5"/>
  <c r="B1844" i="5"/>
  <c r="A1844" i="5"/>
  <c r="B1843" i="5"/>
  <c r="A1843" i="5"/>
  <c r="B1842" i="5"/>
  <c r="A1842" i="5"/>
  <c r="B1841" i="5"/>
  <c r="A1841" i="5"/>
  <c r="B1840" i="5"/>
  <c r="A1840" i="5"/>
  <c r="B1839" i="5"/>
  <c r="A1839" i="5"/>
  <c r="B1838" i="5"/>
  <c r="A1838" i="5"/>
  <c r="B1837" i="5"/>
  <c r="A1837" i="5"/>
  <c r="B1836" i="5"/>
  <c r="A1836" i="5"/>
  <c r="B1835" i="5"/>
  <c r="A1835" i="5"/>
  <c r="B1834" i="5"/>
  <c r="A1834" i="5"/>
  <c r="B1833" i="5"/>
  <c r="A1833" i="5"/>
  <c r="B1832" i="5"/>
  <c r="A1832" i="5"/>
  <c r="B1831" i="5"/>
  <c r="A1831" i="5"/>
  <c r="B1830" i="5"/>
  <c r="A1830" i="5"/>
  <c r="B1829" i="5"/>
  <c r="A1829" i="5"/>
  <c r="B1828" i="5"/>
  <c r="A1828" i="5"/>
  <c r="B1827" i="5"/>
  <c r="A1827" i="5"/>
  <c r="B1826" i="5"/>
  <c r="A1826" i="5"/>
  <c r="B1825" i="5"/>
  <c r="A1825" i="5"/>
  <c r="B1824" i="5"/>
  <c r="A1824" i="5"/>
  <c r="B1823" i="5"/>
  <c r="A1823" i="5"/>
  <c r="B1822" i="5"/>
  <c r="A1822" i="5"/>
  <c r="B1821" i="5"/>
  <c r="A1821" i="5"/>
  <c r="B1820" i="5"/>
  <c r="A1820" i="5"/>
  <c r="B1819" i="5"/>
  <c r="A1819" i="5"/>
  <c r="B1818" i="5"/>
  <c r="A1818" i="5"/>
  <c r="B1817" i="5"/>
  <c r="A1817" i="5"/>
  <c r="B1816" i="5"/>
  <c r="A1816" i="5"/>
  <c r="B1815" i="5"/>
  <c r="A1815" i="5"/>
  <c r="B1814" i="5"/>
  <c r="A1814" i="5"/>
  <c r="B1813" i="5"/>
  <c r="A1813" i="5"/>
  <c r="B1812" i="5"/>
  <c r="A1812" i="5"/>
  <c r="B1811" i="5"/>
  <c r="A1811" i="5"/>
  <c r="B1810" i="5"/>
  <c r="A1810" i="5"/>
  <c r="B1809" i="5"/>
  <c r="A1809" i="5"/>
  <c r="B1808" i="5"/>
  <c r="A1808" i="5"/>
  <c r="B1807" i="5"/>
  <c r="A1807" i="5"/>
  <c r="B1806" i="5"/>
  <c r="A1806" i="5"/>
  <c r="B1805" i="5"/>
  <c r="A1805" i="5"/>
  <c r="B1804" i="5"/>
  <c r="A1804" i="5"/>
  <c r="B1803" i="5"/>
  <c r="A1803" i="5"/>
  <c r="B1802" i="5"/>
  <c r="A1802" i="5"/>
  <c r="B1801" i="5"/>
  <c r="A1801" i="5"/>
  <c r="B1800" i="5"/>
  <c r="A1800" i="5"/>
  <c r="B1799" i="5"/>
  <c r="A1799" i="5"/>
  <c r="B1798" i="5"/>
  <c r="A1798" i="5"/>
  <c r="B1797" i="5"/>
  <c r="A1797" i="5"/>
  <c r="B1796" i="5"/>
  <c r="A1796" i="5"/>
  <c r="B1795" i="5"/>
  <c r="A1795" i="5"/>
  <c r="B1794" i="5"/>
  <c r="A1794" i="5"/>
  <c r="B1793" i="5"/>
  <c r="A1793" i="5"/>
  <c r="B1792" i="5"/>
  <c r="A1792" i="5"/>
  <c r="B1791" i="5"/>
  <c r="A1791" i="5"/>
  <c r="B1790" i="5"/>
  <c r="A1790" i="5"/>
  <c r="B1789" i="5"/>
  <c r="A1789" i="5"/>
  <c r="B1788" i="5"/>
  <c r="A1788" i="5"/>
  <c r="B1787" i="5"/>
  <c r="A1787" i="5"/>
  <c r="B1786" i="5"/>
  <c r="A1786" i="5"/>
  <c r="B1785" i="5"/>
  <c r="A1785" i="5"/>
  <c r="B1784" i="5"/>
  <c r="A1784" i="5"/>
  <c r="B1783" i="5"/>
  <c r="A1783" i="5"/>
  <c r="B1782" i="5"/>
  <c r="A1782" i="5"/>
  <c r="B1781" i="5"/>
  <c r="A1781" i="5"/>
  <c r="B1780" i="5"/>
  <c r="A1780" i="5"/>
  <c r="B1779" i="5"/>
  <c r="A1779" i="5"/>
  <c r="B1778" i="5"/>
  <c r="A1778" i="5"/>
  <c r="B1777" i="5"/>
  <c r="A1777" i="5"/>
  <c r="B1776" i="5"/>
  <c r="A1776" i="5"/>
  <c r="B1775" i="5"/>
  <c r="A1775" i="5"/>
  <c r="B1774" i="5"/>
  <c r="A1774" i="5"/>
  <c r="B1773" i="5"/>
  <c r="A1773" i="5"/>
  <c r="B1772" i="5"/>
  <c r="A1772" i="5"/>
  <c r="B1771" i="5"/>
  <c r="A1771" i="5"/>
  <c r="B1770" i="5"/>
  <c r="A1770" i="5"/>
  <c r="B1769" i="5"/>
  <c r="A1769" i="5"/>
  <c r="B1768" i="5"/>
  <c r="A1768" i="5"/>
  <c r="B1767" i="5"/>
  <c r="A1767" i="5"/>
  <c r="B1766" i="5"/>
  <c r="A1766" i="5"/>
  <c r="B1765" i="5"/>
  <c r="A1765" i="5"/>
  <c r="B1764" i="5"/>
  <c r="A1764" i="5"/>
  <c r="B1763" i="5"/>
  <c r="A1763" i="5"/>
  <c r="B1762" i="5"/>
  <c r="A1762" i="5"/>
  <c r="B1761" i="5"/>
  <c r="A1761" i="5"/>
  <c r="B1760" i="5"/>
  <c r="A1760" i="5"/>
  <c r="B1759" i="5"/>
  <c r="A1759" i="5"/>
  <c r="B1758" i="5"/>
  <c r="A1758" i="5"/>
  <c r="B1757" i="5"/>
  <c r="A1757" i="5"/>
  <c r="B1756" i="5"/>
  <c r="A1756" i="5"/>
  <c r="B1755" i="5"/>
  <c r="A1755" i="5"/>
  <c r="B1754" i="5"/>
  <c r="A1754" i="5"/>
  <c r="B1753" i="5"/>
  <c r="A1753" i="5"/>
  <c r="B1752" i="5"/>
  <c r="A1752" i="5"/>
  <c r="B1751" i="5"/>
  <c r="A1751" i="5"/>
  <c r="B1750" i="5"/>
  <c r="A1750" i="5"/>
  <c r="B1749" i="5"/>
  <c r="A1749" i="5"/>
  <c r="B1748" i="5"/>
  <c r="A1748" i="5"/>
  <c r="B1747" i="5"/>
  <c r="A1747" i="5"/>
  <c r="B1746" i="5"/>
  <c r="A1746" i="5"/>
  <c r="B1745" i="5"/>
  <c r="A1745" i="5"/>
  <c r="B1744" i="5"/>
  <c r="A1744" i="5"/>
  <c r="B1743" i="5"/>
  <c r="A1743" i="5"/>
  <c r="B1742" i="5"/>
  <c r="A1742" i="5"/>
  <c r="B1741" i="5"/>
  <c r="A1741" i="5"/>
  <c r="B1740" i="5"/>
  <c r="A1740" i="5"/>
  <c r="B1739" i="5"/>
  <c r="A1739" i="5"/>
  <c r="B1738" i="5"/>
  <c r="A1738" i="5"/>
  <c r="B1737" i="5"/>
  <c r="A1737" i="5"/>
  <c r="B1736" i="5"/>
  <c r="A1736" i="5"/>
  <c r="B1735" i="5"/>
  <c r="A1735" i="5"/>
  <c r="B1734" i="5"/>
  <c r="A1734" i="5"/>
  <c r="B1733" i="5"/>
  <c r="A1733" i="5"/>
  <c r="B1732" i="5"/>
  <c r="A1732" i="5"/>
  <c r="B1731" i="5"/>
  <c r="A1731" i="5"/>
  <c r="B1730" i="5"/>
  <c r="A1730" i="5"/>
  <c r="B1729" i="5"/>
  <c r="A1729" i="5"/>
  <c r="B1728" i="5"/>
  <c r="A1728" i="5"/>
  <c r="B1727" i="5"/>
  <c r="A1727" i="5"/>
  <c r="B1726" i="5"/>
  <c r="A1726" i="5"/>
  <c r="B1725" i="5"/>
  <c r="A1725" i="5"/>
  <c r="B1724" i="5"/>
  <c r="A1724" i="5"/>
  <c r="B1723" i="5"/>
  <c r="A1723" i="5"/>
  <c r="B1722" i="5"/>
  <c r="A1722" i="5"/>
  <c r="B1721" i="5"/>
  <c r="A1721" i="5"/>
  <c r="B1720" i="5"/>
  <c r="A1720" i="5"/>
  <c r="B1719" i="5"/>
  <c r="A1719" i="5"/>
  <c r="B1718" i="5"/>
  <c r="A1718" i="5"/>
  <c r="B1717" i="5"/>
  <c r="A1717" i="5"/>
  <c r="B1716" i="5"/>
  <c r="A1716" i="5"/>
  <c r="B1715" i="5"/>
  <c r="A1715" i="5"/>
  <c r="B1714" i="5"/>
  <c r="A1714" i="5"/>
  <c r="B1713" i="5"/>
  <c r="A1713" i="5"/>
  <c r="B1712" i="5"/>
  <c r="A1712" i="5"/>
  <c r="B1711" i="5"/>
  <c r="A1711" i="5"/>
  <c r="B1710" i="5"/>
  <c r="A1710" i="5"/>
  <c r="B1709" i="5"/>
  <c r="A1709" i="5"/>
  <c r="B1708" i="5"/>
  <c r="A1708" i="5"/>
  <c r="B1707" i="5"/>
  <c r="A1707" i="5"/>
  <c r="B1706" i="5"/>
  <c r="A1706" i="5"/>
  <c r="B1705" i="5"/>
  <c r="A1705" i="5"/>
  <c r="B1704" i="5"/>
  <c r="A1704" i="5"/>
  <c r="B1703" i="5"/>
  <c r="A1703" i="5"/>
  <c r="B1702" i="5"/>
  <c r="A1702" i="5"/>
  <c r="B1701" i="5"/>
  <c r="A1701" i="5"/>
  <c r="B1700" i="5"/>
  <c r="A1700" i="5"/>
  <c r="B1699" i="5"/>
  <c r="A1699" i="5"/>
  <c r="B1698" i="5"/>
  <c r="A1698" i="5"/>
  <c r="B1697" i="5"/>
  <c r="A1697" i="5"/>
  <c r="B1696" i="5"/>
  <c r="A1696" i="5"/>
  <c r="B1695" i="5"/>
  <c r="A1695" i="5"/>
  <c r="B1694" i="5"/>
  <c r="A1694" i="5"/>
  <c r="B1693" i="5"/>
  <c r="A1693" i="5"/>
  <c r="B1692" i="5"/>
  <c r="A1692" i="5"/>
  <c r="B1691" i="5"/>
  <c r="A1691" i="5"/>
  <c r="B1690" i="5"/>
  <c r="A1690" i="5"/>
  <c r="B1689" i="5"/>
  <c r="A1689" i="5"/>
  <c r="B1688" i="5"/>
  <c r="A1688" i="5"/>
  <c r="B1687" i="5"/>
  <c r="A1687" i="5"/>
  <c r="B1686" i="5"/>
  <c r="A1686" i="5"/>
  <c r="B1685" i="5"/>
  <c r="A1685" i="5"/>
  <c r="B1684" i="5"/>
  <c r="A1684" i="5"/>
  <c r="B1683" i="5"/>
  <c r="A1683" i="5"/>
  <c r="B1682" i="5"/>
  <c r="A1682" i="5"/>
  <c r="B1681" i="5"/>
  <c r="A1681" i="5"/>
  <c r="B1680" i="5"/>
  <c r="A1680" i="5"/>
  <c r="B1679" i="5"/>
  <c r="A1679" i="5"/>
  <c r="B1678" i="5"/>
  <c r="A1678" i="5"/>
  <c r="B1677" i="5"/>
  <c r="A1677" i="5"/>
  <c r="B1676" i="5"/>
  <c r="A1676" i="5"/>
  <c r="B1675" i="5"/>
  <c r="A1675" i="5"/>
  <c r="B1674" i="5"/>
  <c r="A1674" i="5"/>
  <c r="B1673" i="5"/>
  <c r="A1673" i="5"/>
  <c r="B1672" i="5"/>
  <c r="A1672" i="5"/>
  <c r="B1671" i="5"/>
  <c r="A1671" i="5"/>
  <c r="B1670" i="5"/>
  <c r="A1670" i="5"/>
  <c r="B1669" i="5"/>
  <c r="A1669" i="5"/>
  <c r="B1668" i="5"/>
  <c r="A1668" i="5"/>
  <c r="B1667" i="5"/>
  <c r="A1667" i="5"/>
  <c r="B1666" i="5"/>
  <c r="A1666" i="5"/>
  <c r="B1665" i="5"/>
  <c r="A1665" i="5"/>
  <c r="B1664" i="5"/>
  <c r="A1664" i="5"/>
  <c r="B1663" i="5"/>
  <c r="A1663" i="5"/>
  <c r="B1662" i="5"/>
  <c r="A1662" i="5"/>
  <c r="B1661" i="5"/>
  <c r="A1661" i="5"/>
  <c r="B1660" i="5"/>
  <c r="A1660" i="5"/>
  <c r="B1659" i="5"/>
  <c r="A1659" i="5"/>
  <c r="B1658" i="5"/>
  <c r="A1658" i="5"/>
  <c r="B1657" i="5"/>
  <c r="A1657" i="5"/>
  <c r="B1656" i="5"/>
  <c r="A1656" i="5"/>
  <c r="B1655" i="5"/>
  <c r="A1655" i="5"/>
  <c r="B1654" i="5"/>
  <c r="A1654" i="5"/>
  <c r="B1653" i="5"/>
  <c r="A1653" i="5"/>
  <c r="B1652" i="5"/>
  <c r="A1652" i="5"/>
  <c r="B1651" i="5"/>
  <c r="A1651" i="5"/>
  <c r="B1650" i="5"/>
  <c r="A1650" i="5"/>
  <c r="B1649" i="5"/>
  <c r="A1649" i="5"/>
  <c r="B1648" i="5"/>
  <c r="A1648" i="5"/>
  <c r="B1647" i="5"/>
  <c r="A1647" i="5"/>
  <c r="B1646" i="5"/>
  <c r="A1646" i="5"/>
  <c r="B1645" i="5"/>
  <c r="A1645" i="5"/>
  <c r="B1644" i="5"/>
  <c r="A1644" i="5"/>
  <c r="B1643" i="5"/>
  <c r="A1643" i="5"/>
  <c r="B1642" i="5"/>
  <c r="A1642" i="5"/>
  <c r="B1641" i="5"/>
  <c r="A1641" i="5"/>
  <c r="B1640" i="5"/>
  <c r="A1640" i="5"/>
  <c r="B1639" i="5"/>
  <c r="A1639" i="5"/>
  <c r="B1638" i="5"/>
  <c r="A1638" i="5"/>
  <c r="B1637" i="5"/>
  <c r="A1637" i="5"/>
  <c r="B1636" i="5"/>
  <c r="A1636" i="5"/>
  <c r="B1635" i="5"/>
  <c r="A1635" i="5"/>
  <c r="B1634" i="5"/>
  <c r="A1634" i="5"/>
  <c r="B1633" i="5"/>
  <c r="A1633" i="5"/>
  <c r="B1632" i="5"/>
  <c r="A1632" i="5"/>
  <c r="B1631" i="5"/>
  <c r="A1631" i="5"/>
  <c r="B1630" i="5"/>
  <c r="A1630" i="5"/>
  <c r="B1629" i="5"/>
  <c r="A1629" i="5"/>
  <c r="B1628" i="5"/>
  <c r="A1628" i="5"/>
  <c r="B1627" i="5"/>
  <c r="A1627" i="5"/>
  <c r="B1626" i="5"/>
  <c r="A1626" i="5"/>
  <c r="B1625" i="5"/>
  <c r="A1625" i="5"/>
  <c r="B1624" i="5"/>
  <c r="A1624" i="5"/>
  <c r="B1623" i="5"/>
  <c r="A1623" i="5"/>
  <c r="B1622" i="5"/>
  <c r="A1622" i="5"/>
  <c r="B1621" i="5"/>
  <c r="A1621" i="5"/>
  <c r="B1620" i="5"/>
  <c r="A1620" i="5"/>
  <c r="B1619" i="5"/>
  <c r="A1619" i="5"/>
  <c r="B1618" i="5"/>
  <c r="A1618" i="5"/>
  <c r="B1617" i="5"/>
  <c r="A1617" i="5"/>
  <c r="B1616" i="5"/>
  <c r="A1616" i="5"/>
  <c r="B1615" i="5"/>
  <c r="A1615" i="5"/>
  <c r="B1614" i="5"/>
  <c r="A1614" i="5"/>
  <c r="B1613" i="5"/>
  <c r="A1613" i="5"/>
  <c r="B1612" i="5"/>
  <c r="A1612" i="5"/>
  <c r="B1611" i="5"/>
  <c r="A1611" i="5"/>
  <c r="B1610" i="5"/>
  <c r="A1610" i="5"/>
  <c r="B1609" i="5"/>
  <c r="A1609" i="5"/>
  <c r="B1608" i="5"/>
  <c r="A1608" i="5"/>
  <c r="B1607" i="5"/>
  <c r="A1607" i="5"/>
  <c r="B1606" i="5"/>
  <c r="A1606" i="5"/>
  <c r="B1605" i="5"/>
  <c r="A1605" i="5"/>
  <c r="B1604" i="5"/>
  <c r="A1604" i="5"/>
  <c r="B1603" i="5"/>
  <c r="A1603" i="5"/>
  <c r="B1602" i="5"/>
  <c r="A1602" i="5"/>
  <c r="B1601" i="5"/>
  <c r="A1601" i="5"/>
  <c r="B1600" i="5"/>
  <c r="A1600" i="5"/>
  <c r="B1599" i="5"/>
  <c r="A1599" i="5"/>
  <c r="B1598" i="5"/>
  <c r="A1598" i="5"/>
  <c r="B1597" i="5"/>
  <c r="A1597" i="5"/>
  <c r="B1596" i="5"/>
  <c r="A1596" i="5"/>
  <c r="B1595" i="5"/>
  <c r="A1595" i="5"/>
  <c r="B1594" i="5"/>
  <c r="A1594" i="5"/>
  <c r="B1593" i="5"/>
  <c r="A1593" i="5"/>
  <c r="B1592" i="5"/>
  <c r="A1592" i="5"/>
  <c r="B1591" i="5"/>
  <c r="A1591" i="5"/>
  <c r="B1590" i="5"/>
  <c r="A1590" i="5"/>
  <c r="B1589" i="5"/>
  <c r="A1589" i="5"/>
  <c r="B1588" i="5"/>
  <c r="A1588" i="5"/>
  <c r="B1587" i="5"/>
  <c r="A1587" i="5"/>
  <c r="B1586" i="5"/>
  <c r="A1586" i="5"/>
  <c r="B1585" i="5"/>
  <c r="A1585" i="5"/>
  <c r="B1584" i="5"/>
  <c r="A1584" i="5"/>
  <c r="B1583" i="5"/>
  <c r="A1583" i="5"/>
  <c r="B1582" i="5"/>
  <c r="A1582" i="5"/>
  <c r="B1581" i="5"/>
  <c r="A1581" i="5"/>
  <c r="B1580" i="5"/>
  <c r="A1580" i="5"/>
  <c r="B1579" i="5"/>
  <c r="A1579" i="5"/>
  <c r="B1578" i="5"/>
  <c r="A1578" i="5"/>
  <c r="B1577" i="5"/>
  <c r="A1577" i="5"/>
  <c r="B1576" i="5"/>
  <c r="A1576" i="5"/>
  <c r="B1575" i="5"/>
  <c r="A1575" i="5"/>
  <c r="B1574" i="5"/>
  <c r="A1574" i="5"/>
  <c r="B1573" i="5"/>
  <c r="A1573" i="5"/>
  <c r="B1572" i="5"/>
  <c r="A1572" i="5"/>
  <c r="B1571" i="5"/>
  <c r="A1571" i="5"/>
  <c r="B1570" i="5"/>
  <c r="A1570" i="5"/>
  <c r="B1569" i="5"/>
  <c r="A1569" i="5"/>
  <c r="B1568" i="5"/>
  <c r="A1568" i="5"/>
  <c r="B1567" i="5"/>
  <c r="A1567" i="5"/>
  <c r="B1566" i="5"/>
  <c r="A1566" i="5"/>
  <c r="B1565" i="5"/>
  <c r="A1565" i="5"/>
  <c r="B1564" i="5"/>
  <c r="A1564" i="5"/>
  <c r="B1563" i="5"/>
  <c r="A1563" i="5"/>
  <c r="B1562" i="5"/>
  <c r="A1562" i="5"/>
  <c r="B1561" i="5"/>
  <c r="A1561" i="5"/>
  <c r="B1560" i="5"/>
  <c r="A1560" i="5"/>
  <c r="B1559" i="5"/>
  <c r="A1559" i="5"/>
  <c r="B1558" i="5"/>
  <c r="A1558" i="5"/>
  <c r="B1557" i="5"/>
  <c r="A1557" i="5"/>
  <c r="B1556" i="5"/>
  <c r="A1556" i="5"/>
  <c r="B1555" i="5"/>
  <c r="A1555" i="5"/>
  <c r="B1554" i="5"/>
  <c r="A1554" i="5"/>
  <c r="B1553" i="5"/>
  <c r="A1553" i="5"/>
  <c r="B1552" i="5"/>
  <c r="A1552" i="5"/>
  <c r="B1551" i="5"/>
  <c r="A1551" i="5"/>
  <c r="B1550" i="5"/>
  <c r="A1550" i="5"/>
  <c r="B1549" i="5"/>
  <c r="A1549" i="5"/>
  <c r="B1548" i="5"/>
  <c r="A1548" i="5"/>
  <c r="B1547" i="5"/>
  <c r="A1547" i="5"/>
  <c r="B1546" i="5"/>
  <c r="A1546" i="5"/>
  <c r="B1545" i="5"/>
  <c r="A1545" i="5"/>
  <c r="B1544" i="5"/>
  <c r="A1544" i="5"/>
  <c r="B1543" i="5"/>
  <c r="A1543" i="5"/>
  <c r="B1542" i="5"/>
  <c r="A1542" i="5"/>
  <c r="B1541" i="5"/>
  <c r="A1541" i="5"/>
  <c r="B1540" i="5"/>
  <c r="A1540" i="5"/>
  <c r="B1539" i="5"/>
  <c r="A1539" i="5"/>
  <c r="B1538" i="5"/>
  <c r="A1538" i="5"/>
  <c r="B1537" i="5"/>
  <c r="A1537" i="5"/>
  <c r="B1536" i="5"/>
  <c r="A1536" i="5"/>
  <c r="B1535" i="5"/>
  <c r="A1535" i="5"/>
  <c r="B1534" i="5"/>
  <c r="A1534" i="5"/>
  <c r="B1533" i="5"/>
  <c r="A1533" i="5"/>
  <c r="B1532" i="5"/>
  <c r="A1532" i="5"/>
  <c r="B1531" i="5"/>
  <c r="A1531" i="5"/>
  <c r="B1530" i="5"/>
  <c r="A1530" i="5"/>
  <c r="B1529" i="5"/>
  <c r="A1529" i="5"/>
  <c r="B1528" i="5"/>
  <c r="A1528" i="5"/>
  <c r="B1527" i="5"/>
  <c r="A1527" i="5"/>
  <c r="B1526" i="5"/>
  <c r="A1526" i="5"/>
  <c r="B1525" i="5"/>
  <c r="A1525" i="5"/>
  <c r="B1524" i="5"/>
  <c r="A1524" i="5"/>
  <c r="B1523" i="5"/>
  <c r="A1523" i="5"/>
  <c r="B1522" i="5"/>
  <c r="A1522" i="5"/>
  <c r="B1521" i="5"/>
  <c r="A1521" i="5"/>
  <c r="B1520" i="5"/>
  <c r="A1520" i="5"/>
  <c r="B1519" i="5"/>
  <c r="A1519" i="5"/>
  <c r="B1518" i="5"/>
  <c r="A1518" i="5"/>
  <c r="B1517" i="5"/>
  <c r="A1517" i="5"/>
  <c r="B1516" i="5"/>
  <c r="A1516" i="5"/>
  <c r="B1515" i="5"/>
  <c r="A1515" i="5"/>
  <c r="B1514" i="5"/>
  <c r="A1514" i="5"/>
  <c r="B1513" i="5"/>
  <c r="A1513" i="5"/>
  <c r="B1512" i="5"/>
  <c r="A1512" i="5"/>
  <c r="B1511" i="5"/>
  <c r="A1511" i="5"/>
  <c r="B1510" i="5"/>
  <c r="A1510" i="5"/>
  <c r="B1509" i="5"/>
  <c r="A1509" i="5"/>
  <c r="B1508" i="5"/>
  <c r="A1508" i="5"/>
  <c r="B1507" i="5"/>
  <c r="A1507" i="5"/>
  <c r="B1506" i="5"/>
  <c r="A1506" i="5"/>
  <c r="B1505" i="5"/>
  <c r="A1505" i="5"/>
  <c r="B1504" i="5"/>
  <c r="A1504" i="5"/>
  <c r="B1503" i="5"/>
  <c r="A1503" i="5"/>
  <c r="B1502" i="5"/>
  <c r="A1502" i="5"/>
  <c r="B1501" i="5"/>
  <c r="A1501" i="5"/>
  <c r="B1500" i="5"/>
  <c r="A1500" i="5"/>
  <c r="B1499" i="5"/>
  <c r="A1499" i="5"/>
  <c r="B1498" i="5"/>
  <c r="A1498" i="5"/>
  <c r="B1497" i="5"/>
  <c r="A1497" i="5"/>
  <c r="B1496" i="5"/>
  <c r="A1496" i="5"/>
  <c r="B1495" i="5"/>
  <c r="A1495" i="5"/>
  <c r="B1494" i="5"/>
  <c r="A1494" i="5"/>
  <c r="B1493" i="5"/>
  <c r="A1493" i="5"/>
  <c r="B1492" i="5"/>
  <c r="A1492" i="5"/>
  <c r="B1491" i="5"/>
  <c r="A1491" i="5"/>
  <c r="B1490" i="5"/>
  <c r="A1490" i="5"/>
  <c r="B1489" i="5"/>
  <c r="A1489" i="5"/>
  <c r="B1488" i="5"/>
  <c r="A1488" i="5"/>
  <c r="B1487" i="5"/>
  <c r="A1487" i="5"/>
  <c r="B1486" i="5"/>
  <c r="A1486" i="5"/>
  <c r="B1485" i="5"/>
  <c r="A1485" i="5"/>
  <c r="B1484" i="5"/>
  <c r="A1484" i="5"/>
  <c r="B1483" i="5"/>
  <c r="A1483" i="5"/>
  <c r="B1482" i="5"/>
  <c r="A1482" i="5"/>
  <c r="B1481" i="5"/>
  <c r="A1481" i="5"/>
  <c r="B1480" i="5"/>
  <c r="A1480" i="5"/>
  <c r="B1479" i="5"/>
  <c r="A1479" i="5"/>
  <c r="B1478" i="5"/>
  <c r="A1478" i="5"/>
  <c r="B1477" i="5"/>
  <c r="A1477" i="5"/>
  <c r="B1476" i="5"/>
  <c r="A1476" i="5"/>
  <c r="B1475" i="5"/>
  <c r="A1475" i="5"/>
  <c r="B1474" i="5"/>
  <c r="A1474" i="5"/>
  <c r="B1473" i="5"/>
  <c r="A1473" i="5"/>
  <c r="B1472" i="5"/>
  <c r="A1472" i="5"/>
  <c r="B1471" i="5"/>
  <c r="A1471" i="5"/>
  <c r="B1470" i="5"/>
  <c r="A1470" i="5"/>
  <c r="B1469" i="5"/>
  <c r="A1469" i="5"/>
  <c r="B1468" i="5"/>
  <c r="A1468" i="5"/>
  <c r="B1467" i="5"/>
  <c r="A1467" i="5"/>
  <c r="B1466" i="5"/>
  <c r="A1466" i="5"/>
  <c r="B1465" i="5"/>
  <c r="A1465" i="5"/>
  <c r="B1464" i="5"/>
  <c r="A1464" i="5"/>
  <c r="B1463" i="5"/>
  <c r="A1463" i="5"/>
  <c r="B1462" i="5"/>
  <c r="A1462" i="5"/>
  <c r="B1461" i="5"/>
  <c r="A1461" i="5"/>
  <c r="B1460" i="5"/>
  <c r="A1460" i="5"/>
  <c r="B1459" i="5"/>
  <c r="A1459" i="5"/>
  <c r="B1458" i="5"/>
  <c r="A1458" i="5"/>
  <c r="B1457" i="5"/>
  <c r="A1457" i="5"/>
  <c r="B1456" i="5"/>
  <c r="A1456" i="5"/>
  <c r="B1455" i="5"/>
  <c r="A1455" i="5"/>
  <c r="B1454" i="5"/>
  <c r="A1454" i="5"/>
  <c r="B1453" i="5"/>
  <c r="A1453" i="5"/>
  <c r="B1452" i="5"/>
  <c r="A1452" i="5"/>
  <c r="B1451" i="5"/>
  <c r="A1451" i="5"/>
  <c r="B1450" i="5"/>
  <c r="A1450" i="5"/>
  <c r="B1449" i="5"/>
  <c r="A1449" i="5"/>
  <c r="B1448" i="5"/>
  <c r="A1448" i="5"/>
  <c r="B1447" i="5"/>
  <c r="A1447" i="5"/>
  <c r="B1446" i="5"/>
  <c r="A1446" i="5"/>
  <c r="B1445" i="5"/>
  <c r="A1445" i="5"/>
  <c r="B1444" i="5"/>
  <c r="A1444" i="5"/>
  <c r="B1443" i="5"/>
  <c r="A1443" i="5"/>
  <c r="B1442" i="5"/>
  <c r="A1442" i="5"/>
  <c r="B1441" i="5"/>
  <c r="A1441" i="5"/>
  <c r="B1440" i="5"/>
  <c r="A1440" i="5"/>
  <c r="B1439" i="5"/>
  <c r="A1439" i="5"/>
  <c r="B1438" i="5"/>
  <c r="A1438" i="5"/>
  <c r="B1437" i="5"/>
  <c r="A1437" i="5"/>
  <c r="B1436" i="5"/>
  <c r="A1436" i="5"/>
  <c r="B1435" i="5"/>
  <c r="A1435" i="5"/>
  <c r="B1434" i="5"/>
  <c r="A1434" i="5"/>
  <c r="B1433" i="5"/>
  <c r="A1433" i="5"/>
  <c r="B1432" i="5"/>
  <c r="A1432" i="5"/>
  <c r="B1431" i="5"/>
  <c r="A1431" i="5"/>
  <c r="B1430" i="5"/>
  <c r="A1430" i="5"/>
  <c r="B1429" i="5"/>
  <c r="A1429" i="5"/>
  <c r="B1428" i="5"/>
  <c r="A1428" i="5"/>
  <c r="B1427" i="5"/>
  <c r="A1427" i="5"/>
  <c r="B1426" i="5"/>
  <c r="A1426" i="5"/>
  <c r="B1425" i="5"/>
  <c r="A1425" i="5"/>
  <c r="B1424" i="5"/>
  <c r="A1424" i="5"/>
  <c r="B1423" i="5"/>
  <c r="A1423" i="5"/>
  <c r="B1422" i="5"/>
  <c r="A1422" i="5"/>
  <c r="B1421" i="5"/>
  <c r="A1421" i="5"/>
  <c r="B1420" i="5"/>
  <c r="A1420" i="5"/>
  <c r="B1419" i="5"/>
  <c r="A1419" i="5"/>
  <c r="B1418" i="5"/>
  <c r="A1418" i="5"/>
  <c r="B1417" i="5"/>
  <c r="A1417" i="5"/>
  <c r="B1416" i="5"/>
  <c r="A1416" i="5"/>
  <c r="B1415" i="5"/>
  <c r="A1415" i="5"/>
  <c r="B1414" i="5"/>
  <c r="A1414" i="5"/>
  <c r="B1413" i="5"/>
  <c r="A1413" i="5"/>
  <c r="B1412" i="5"/>
  <c r="A1412" i="5"/>
  <c r="B1411" i="5"/>
  <c r="A1411" i="5"/>
  <c r="B1410" i="5"/>
  <c r="A1410" i="5"/>
  <c r="B1409" i="5"/>
  <c r="A1409" i="5"/>
  <c r="B1408" i="5"/>
  <c r="A1408" i="5"/>
  <c r="B1407" i="5"/>
  <c r="A1407" i="5"/>
  <c r="B1406" i="5"/>
  <c r="A1406" i="5"/>
  <c r="B1405" i="5"/>
  <c r="A1405" i="5"/>
  <c r="B1404" i="5"/>
  <c r="A1404" i="5"/>
  <c r="B1403" i="5"/>
  <c r="A1403" i="5"/>
  <c r="B1402" i="5"/>
  <c r="A1402" i="5"/>
  <c r="B1401" i="5"/>
  <c r="A1401" i="5"/>
  <c r="B1400" i="5"/>
  <c r="A1400" i="5"/>
  <c r="B1399" i="5"/>
  <c r="A1399" i="5"/>
  <c r="B1398" i="5"/>
  <c r="A1398" i="5"/>
  <c r="B1397" i="5"/>
  <c r="A1397" i="5"/>
  <c r="B1396" i="5"/>
  <c r="A1396" i="5"/>
  <c r="B1395" i="5"/>
  <c r="A1395" i="5"/>
  <c r="B1394" i="5"/>
  <c r="A1394" i="5"/>
  <c r="B1393" i="5"/>
  <c r="A1393" i="5"/>
  <c r="B1392" i="5"/>
  <c r="A1392" i="5"/>
  <c r="B1391" i="5"/>
  <c r="A1391" i="5"/>
  <c r="B1390" i="5"/>
  <c r="A1390" i="5"/>
  <c r="B1389" i="5"/>
  <c r="A1389" i="5"/>
  <c r="B1388" i="5"/>
  <c r="A1388" i="5"/>
  <c r="B1387" i="5"/>
  <c r="A1387" i="5"/>
  <c r="B1386" i="5"/>
  <c r="A1386" i="5"/>
  <c r="B1385" i="5"/>
  <c r="A1385" i="5"/>
  <c r="B1384" i="5"/>
  <c r="A1384" i="5"/>
  <c r="B1383" i="5"/>
  <c r="A1383" i="5"/>
  <c r="B1382" i="5"/>
  <c r="A1382" i="5"/>
  <c r="B1381" i="5"/>
  <c r="A1381" i="5"/>
  <c r="B1380" i="5"/>
  <c r="A1380" i="5"/>
  <c r="B1379" i="5"/>
  <c r="A1379" i="5"/>
  <c r="B1378" i="5"/>
  <c r="A1378" i="5"/>
  <c r="B1377" i="5"/>
  <c r="A1377" i="5"/>
  <c r="B1376" i="5"/>
  <c r="A1376" i="5"/>
  <c r="B1375" i="5"/>
  <c r="A1375" i="5"/>
  <c r="B1374" i="5"/>
  <c r="A1374" i="5"/>
  <c r="B1373" i="5"/>
  <c r="A1373" i="5"/>
  <c r="B1372" i="5"/>
  <c r="A1372" i="5"/>
  <c r="B1371" i="5"/>
  <c r="A1371" i="5"/>
  <c r="B1370" i="5"/>
  <c r="A1370" i="5"/>
  <c r="B1369" i="5"/>
  <c r="A1369" i="5"/>
  <c r="B1368" i="5"/>
  <c r="A1368" i="5"/>
  <c r="B1367" i="5"/>
  <c r="A1367" i="5"/>
  <c r="B1366" i="5"/>
  <c r="A1366" i="5"/>
  <c r="B1365" i="5"/>
  <c r="A1365" i="5"/>
  <c r="B1364" i="5"/>
  <c r="A1364" i="5"/>
  <c r="B1363" i="5"/>
  <c r="A1363" i="5"/>
  <c r="B1362" i="5"/>
  <c r="A1362" i="5"/>
  <c r="B1361" i="5"/>
  <c r="A1361" i="5"/>
  <c r="B1360" i="5"/>
  <c r="A1360" i="5"/>
  <c r="B1359" i="5"/>
  <c r="A1359" i="5"/>
  <c r="B1358" i="5"/>
  <c r="A1358" i="5"/>
  <c r="B1357" i="5"/>
  <c r="A1357" i="5"/>
  <c r="B1356" i="5"/>
  <c r="A1356" i="5"/>
  <c r="B1355" i="5"/>
  <c r="A1355" i="5"/>
  <c r="B1354" i="5"/>
  <c r="A1354" i="5"/>
  <c r="B1353" i="5"/>
  <c r="A1353" i="5"/>
  <c r="B1352" i="5"/>
  <c r="A1352" i="5"/>
  <c r="B1351" i="5"/>
  <c r="A1351" i="5"/>
  <c r="B1350" i="5"/>
  <c r="A1350" i="5"/>
  <c r="B1349" i="5"/>
  <c r="A1349" i="5"/>
  <c r="B1348" i="5"/>
  <c r="A1348" i="5"/>
  <c r="B1347" i="5"/>
  <c r="A1347" i="5"/>
  <c r="B1346" i="5"/>
  <c r="A1346" i="5"/>
  <c r="B1345" i="5"/>
  <c r="A1345" i="5"/>
  <c r="B1344" i="5"/>
  <c r="A1344" i="5"/>
  <c r="B1343" i="5"/>
  <c r="A1343" i="5"/>
  <c r="B1342" i="5"/>
  <c r="A1342" i="5"/>
  <c r="B1341" i="5"/>
  <c r="A1341" i="5"/>
  <c r="B1340" i="5"/>
  <c r="A1340" i="5"/>
  <c r="B1339" i="5"/>
  <c r="A1339" i="5"/>
  <c r="B1338" i="5"/>
  <c r="A1338" i="5"/>
  <c r="B1337" i="5"/>
  <c r="A1337" i="5"/>
  <c r="B1336" i="5"/>
  <c r="A1336" i="5"/>
  <c r="B1335" i="5"/>
  <c r="A1335" i="5"/>
  <c r="B1334" i="5"/>
  <c r="A1334" i="5"/>
  <c r="B1333" i="5"/>
  <c r="A1333" i="5"/>
  <c r="B1332" i="5"/>
  <c r="A1332" i="5"/>
  <c r="B1331" i="5"/>
  <c r="A1331" i="5"/>
  <c r="B1330" i="5"/>
  <c r="A1330" i="5"/>
  <c r="B1329" i="5"/>
  <c r="A1329" i="5"/>
  <c r="B1328" i="5"/>
  <c r="A1328" i="5"/>
  <c r="B1327" i="5"/>
  <c r="A1327" i="5"/>
  <c r="B1326" i="5"/>
  <c r="A1326" i="5"/>
  <c r="B1325" i="5"/>
  <c r="A1325" i="5"/>
  <c r="B1324" i="5"/>
  <c r="A1324" i="5"/>
  <c r="B1323" i="5"/>
  <c r="A1323" i="5"/>
  <c r="B1322" i="5"/>
  <c r="A1322" i="5"/>
  <c r="B1321" i="5"/>
  <c r="A1321" i="5"/>
  <c r="B1320" i="5"/>
  <c r="A1320" i="5"/>
  <c r="B1319" i="5"/>
  <c r="A1319" i="5"/>
  <c r="B1318" i="5"/>
  <c r="A1318" i="5"/>
  <c r="B1317" i="5"/>
  <c r="A1317" i="5"/>
  <c r="B1316" i="5"/>
  <c r="A1316" i="5"/>
  <c r="B1315" i="5"/>
  <c r="A1315" i="5"/>
  <c r="B1314" i="5"/>
  <c r="A1314" i="5"/>
  <c r="B1313" i="5"/>
  <c r="A1313" i="5"/>
  <c r="B1312" i="5"/>
  <c r="A1312" i="5"/>
  <c r="B1311" i="5"/>
  <c r="A1311" i="5"/>
  <c r="B1310" i="5"/>
  <c r="A1310" i="5"/>
  <c r="B1309" i="5"/>
  <c r="A1309" i="5"/>
  <c r="B1308" i="5"/>
  <c r="A1308" i="5"/>
  <c r="B1307" i="5"/>
  <c r="A1307" i="5"/>
  <c r="B1306" i="5"/>
  <c r="A1306" i="5"/>
  <c r="B1305" i="5"/>
  <c r="A1305" i="5"/>
  <c r="B1304" i="5"/>
  <c r="A1304" i="5"/>
  <c r="B1303" i="5"/>
  <c r="A1303" i="5"/>
  <c r="B1302" i="5"/>
  <c r="A1302" i="5"/>
  <c r="B1301" i="5"/>
  <c r="A1301" i="5"/>
  <c r="B1300" i="5"/>
  <c r="A1300" i="5"/>
  <c r="B1299" i="5"/>
  <c r="A1299" i="5"/>
  <c r="B1298" i="5"/>
  <c r="A1298" i="5"/>
  <c r="B1297" i="5"/>
  <c r="A1297" i="5"/>
  <c r="B1296" i="5"/>
  <c r="A1296" i="5"/>
  <c r="B1295" i="5"/>
  <c r="A1295" i="5"/>
  <c r="B1294" i="5"/>
  <c r="A1294" i="5"/>
  <c r="B1293" i="5"/>
  <c r="A1293" i="5"/>
  <c r="B1292" i="5"/>
  <c r="A1292" i="5"/>
  <c r="B1291" i="5"/>
  <c r="A1291" i="5"/>
  <c r="B1290" i="5"/>
  <c r="A1290" i="5"/>
  <c r="B1289" i="5"/>
  <c r="A1289" i="5"/>
  <c r="B1288" i="5"/>
  <c r="A1288" i="5"/>
  <c r="B1287" i="5"/>
  <c r="A1287" i="5"/>
  <c r="B1286" i="5"/>
  <c r="A1286" i="5"/>
  <c r="B1285" i="5"/>
  <c r="A1285" i="5"/>
  <c r="B1284" i="5"/>
  <c r="A1284" i="5"/>
  <c r="B1283" i="5"/>
  <c r="A1283" i="5"/>
  <c r="B1282" i="5"/>
  <c r="A1282" i="5"/>
  <c r="B1281" i="5"/>
  <c r="A1281" i="5"/>
  <c r="B1280" i="5"/>
  <c r="A1280" i="5"/>
  <c r="B1279" i="5"/>
  <c r="A1279" i="5"/>
  <c r="B1278" i="5"/>
  <c r="A1278" i="5"/>
  <c r="B1277" i="5"/>
  <c r="A1277" i="5"/>
  <c r="B1276" i="5"/>
  <c r="A1276" i="5"/>
  <c r="B1275" i="5"/>
  <c r="A1275" i="5"/>
  <c r="B1274" i="5"/>
  <c r="A1274" i="5"/>
  <c r="B1273" i="5"/>
  <c r="A1273" i="5"/>
  <c r="B1272" i="5"/>
  <c r="A1272" i="5"/>
  <c r="B1271" i="5"/>
  <c r="A1271" i="5"/>
  <c r="B1270" i="5"/>
  <c r="A1270" i="5"/>
  <c r="B1269" i="5"/>
  <c r="A1269" i="5"/>
  <c r="B1268" i="5"/>
  <c r="A1268" i="5"/>
  <c r="B1267" i="5"/>
  <c r="A1267" i="5"/>
  <c r="B1266" i="5"/>
  <c r="A1266" i="5"/>
  <c r="B1265" i="5"/>
  <c r="A1265" i="5"/>
  <c r="B1264" i="5"/>
  <c r="A1264" i="5"/>
  <c r="B1263" i="5"/>
  <c r="A1263" i="5"/>
  <c r="B1262" i="5"/>
  <c r="A1262" i="5"/>
  <c r="B1261" i="5"/>
  <c r="A1261" i="5"/>
  <c r="B1260" i="5"/>
  <c r="A1260" i="5"/>
  <c r="B1259" i="5"/>
  <c r="A1259" i="5"/>
  <c r="B1258" i="5"/>
  <c r="A1258" i="5"/>
  <c r="B1257" i="5"/>
  <c r="A1257" i="5"/>
  <c r="B1256" i="5"/>
  <c r="A1256" i="5"/>
  <c r="B1255" i="5"/>
  <c r="A1255" i="5"/>
  <c r="B1254" i="5"/>
  <c r="A1254" i="5"/>
  <c r="B1253" i="5"/>
  <c r="A1253" i="5"/>
  <c r="B1252" i="5"/>
  <c r="A1252" i="5"/>
  <c r="B1251" i="5"/>
  <c r="A1251" i="5"/>
  <c r="B1250" i="5"/>
  <c r="A1250" i="5"/>
  <c r="B1249" i="5"/>
  <c r="A1249" i="5"/>
  <c r="B1248" i="5"/>
  <c r="A1248" i="5"/>
  <c r="B1247" i="5"/>
  <c r="A1247" i="5"/>
  <c r="B1246" i="5"/>
  <c r="A1246" i="5"/>
  <c r="B1245" i="5"/>
  <c r="A1245" i="5"/>
  <c r="B1244" i="5"/>
  <c r="A1244" i="5"/>
  <c r="B1243" i="5"/>
  <c r="A1243" i="5"/>
  <c r="B1242" i="5"/>
  <c r="A1242" i="5"/>
  <c r="B1241" i="5"/>
  <c r="A1241" i="5"/>
  <c r="B1240" i="5"/>
  <c r="A1240" i="5"/>
  <c r="B1239" i="5"/>
  <c r="A1239" i="5"/>
  <c r="B1238" i="5"/>
  <c r="A1238" i="5"/>
  <c r="B1237" i="5"/>
  <c r="A1237" i="5"/>
  <c r="B1236" i="5"/>
  <c r="A1236" i="5"/>
  <c r="B1235" i="5"/>
  <c r="A1235" i="5"/>
  <c r="B1234" i="5"/>
  <c r="A1234" i="5"/>
  <c r="B1233" i="5"/>
  <c r="A1233" i="5"/>
  <c r="B1232" i="5"/>
  <c r="A1232" i="5"/>
  <c r="B1231" i="5"/>
  <c r="A1231" i="5"/>
  <c r="B1230" i="5"/>
  <c r="A1230" i="5"/>
  <c r="B1229" i="5"/>
  <c r="A1229" i="5"/>
  <c r="B1228" i="5"/>
  <c r="A1228" i="5"/>
  <c r="B1227" i="5"/>
  <c r="A1227" i="5"/>
  <c r="B1226" i="5"/>
  <c r="A1226" i="5"/>
  <c r="B1225" i="5"/>
  <c r="A1225" i="5"/>
  <c r="B1224" i="5"/>
  <c r="A1224" i="5"/>
  <c r="B1223" i="5"/>
  <c r="A1223" i="5"/>
  <c r="B1222" i="5"/>
  <c r="A1222" i="5"/>
  <c r="B1221" i="5"/>
  <c r="A1221" i="5"/>
  <c r="B1220" i="5"/>
  <c r="A1220" i="5"/>
  <c r="B1219" i="5"/>
  <c r="A1219" i="5"/>
  <c r="B1218" i="5"/>
  <c r="A1218" i="5"/>
  <c r="B1217" i="5"/>
  <c r="A1217" i="5"/>
  <c r="B1216" i="5"/>
  <c r="A1216" i="5"/>
  <c r="B1215" i="5"/>
  <c r="A1215" i="5"/>
  <c r="B1214" i="5"/>
  <c r="A1214" i="5"/>
  <c r="B1213" i="5"/>
  <c r="A1213" i="5"/>
  <c r="B1212" i="5"/>
  <c r="A1212" i="5"/>
  <c r="B1211" i="5"/>
  <c r="A1211" i="5"/>
  <c r="B1210" i="5"/>
  <c r="A1210" i="5"/>
  <c r="B1209" i="5"/>
  <c r="A1209" i="5"/>
  <c r="B1208" i="5"/>
  <c r="A1208" i="5"/>
  <c r="B1207" i="5"/>
  <c r="A1207" i="5"/>
  <c r="B1206" i="5"/>
  <c r="A1206" i="5"/>
  <c r="B1205" i="5"/>
  <c r="A1205" i="5"/>
  <c r="B1204" i="5"/>
  <c r="A1204" i="5"/>
  <c r="B1203" i="5"/>
  <c r="A1203" i="5"/>
  <c r="B1202" i="5"/>
  <c r="A1202" i="5"/>
  <c r="B1201" i="5"/>
  <c r="A1201" i="5"/>
  <c r="B1200" i="5"/>
  <c r="A1200" i="5"/>
  <c r="B1199" i="5"/>
  <c r="A1199" i="5"/>
  <c r="B1198" i="5"/>
  <c r="A1198" i="5"/>
  <c r="B1197" i="5"/>
  <c r="A1197" i="5"/>
  <c r="B1196" i="5"/>
  <c r="A1196" i="5"/>
  <c r="B1195" i="5"/>
  <c r="A1195" i="5"/>
  <c r="B1194" i="5"/>
  <c r="A1194" i="5"/>
  <c r="B1193" i="5"/>
  <c r="A1193" i="5"/>
  <c r="B1192" i="5"/>
  <c r="A1192" i="5"/>
  <c r="B1191" i="5"/>
  <c r="A1191" i="5"/>
  <c r="B1190" i="5"/>
  <c r="A1190" i="5"/>
  <c r="B1189" i="5"/>
  <c r="A1189" i="5"/>
  <c r="B1188" i="5"/>
  <c r="A1188" i="5"/>
  <c r="B1187" i="5"/>
  <c r="A1187" i="5"/>
  <c r="B1186" i="5"/>
  <c r="A1186" i="5"/>
  <c r="B1185" i="5"/>
  <c r="A1185" i="5"/>
  <c r="B1184" i="5"/>
  <c r="A1184" i="5"/>
  <c r="B1183" i="5"/>
  <c r="A1183" i="5"/>
  <c r="B1182" i="5"/>
  <c r="A1182" i="5"/>
  <c r="B1181" i="5"/>
  <c r="A1181" i="5"/>
  <c r="B1180" i="5"/>
  <c r="A1180" i="5"/>
  <c r="B1179" i="5"/>
  <c r="A1179" i="5"/>
  <c r="B1178" i="5"/>
  <c r="A1178" i="5"/>
  <c r="B1177" i="5"/>
  <c r="A1177" i="5"/>
  <c r="B1176" i="5"/>
  <c r="A1176" i="5"/>
  <c r="B1175" i="5"/>
  <c r="A1175" i="5"/>
  <c r="B1174" i="5"/>
  <c r="A1174" i="5"/>
  <c r="B1173" i="5"/>
  <c r="A1173" i="5"/>
  <c r="B1172" i="5"/>
  <c r="A1172" i="5"/>
  <c r="B1171" i="5"/>
  <c r="A1171" i="5"/>
  <c r="B1170" i="5"/>
  <c r="A1170" i="5"/>
  <c r="B1169" i="5"/>
  <c r="A1169" i="5"/>
  <c r="B1168" i="5"/>
  <c r="A1168" i="5"/>
  <c r="B1167" i="5"/>
  <c r="A1167" i="5"/>
  <c r="B1166" i="5"/>
  <c r="A1166" i="5"/>
  <c r="B1165" i="5"/>
  <c r="A1165" i="5"/>
  <c r="B1164" i="5"/>
  <c r="A1164" i="5"/>
  <c r="B1163" i="5"/>
  <c r="A1163" i="5"/>
  <c r="B1162" i="5"/>
  <c r="A1162" i="5"/>
  <c r="B1161" i="5"/>
  <c r="A1161" i="5"/>
  <c r="B1160" i="5"/>
  <c r="A1160" i="5"/>
  <c r="B1159" i="5"/>
  <c r="A1159" i="5"/>
  <c r="B1158" i="5"/>
  <c r="A1158" i="5"/>
  <c r="B1157" i="5"/>
  <c r="A1157" i="5"/>
  <c r="B1156" i="5"/>
  <c r="A1156" i="5"/>
  <c r="B1155" i="5"/>
  <c r="A1155" i="5"/>
  <c r="B1154" i="5"/>
  <c r="A1154" i="5"/>
  <c r="B1153" i="5"/>
  <c r="A1153" i="5"/>
  <c r="B1152" i="5"/>
  <c r="A1152" i="5"/>
  <c r="B1151" i="5"/>
  <c r="A1151" i="5"/>
  <c r="B1150" i="5"/>
  <c r="A1150" i="5"/>
  <c r="B1149" i="5"/>
  <c r="A1149" i="5"/>
  <c r="B1148" i="5"/>
  <c r="A1148" i="5"/>
  <c r="B1147" i="5"/>
  <c r="A1147" i="5"/>
  <c r="B1146" i="5"/>
  <c r="A1146" i="5"/>
  <c r="B1145" i="5"/>
  <c r="A1145" i="5"/>
  <c r="B1144" i="5"/>
  <c r="A1144" i="5"/>
  <c r="B1143" i="5"/>
  <c r="A1143" i="5"/>
  <c r="B1142" i="5"/>
  <c r="A1142" i="5"/>
  <c r="B1141" i="5"/>
  <c r="A1141" i="5"/>
  <c r="B1140" i="5"/>
  <c r="A1140" i="5"/>
  <c r="B1139" i="5"/>
  <c r="A1139" i="5"/>
  <c r="B1138" i="5"/>
  <c r="A1138" i="5"/>
  <c r="B1137" i="5"/>
  <c r="A1137" i="5"/>
  <c r="B1136" i="5"/>
  <c r="A1136" i="5"/>
  <c r="B1135" i="5"/>
  <c r="A1135" i="5"/>
  <c r="B1134" i="5"/>
  <c r="A1134" i="5"/>
  <c r="B1133" i="5"/>
  <c r="A1133" i="5"/>
  <c r="B1132" i="5"/>
  <c r="A1132" i="5"/>
  <c r="B1131" i="5"/>
  <c r="A1131" i="5"/>
  <c r="B1130" i="5"/>
  <c r="A1130" i="5"/>
  <c r="B1129" i="5"/>
  <c r="A1129" i="5"/>
  <c r="B1128" i="5"/>
  <c r="A1128" i="5"/>
  <c r="B1127" i="5"/>
  <c r="A1127" i="5"/>
  <c r="B1126" i="5"/>
  <c r="A1126" i="5"/>
  <c r="B1125" i="5"/>
  <c r="A1125" i="5"/>
  <c r="B1124" i="5"/>
  <c r="A1124" i="5"/>
  <c r="B1123" i="5"/>
  <c r="A1123" i="5"/>
  <c r="B1122" i="5"/>
  <c r="A1122" i="5"/>
  <c r="B1121" i="5"/>
  <c r="A1121" i="5"/>
  <c r="B1120" i="5"/>
  <c r="A1120" i="5"/>
  <c r="B1119" i="5"/>
  <c r="A1119" i="5"/>
  <c r="B1118" i="5"/>
  <c r="A1118" i="5"/>
  <c r="B1117" i="5"/>
  <c r="A1117" i="5"/>
  <c r="B1116" i="5"/>
  <c r="A1116" i="5"/>
  <c r="B1115" i="5"/>
  <c r="A1115" i="5"/>
  <c r="B1114" i="5"/>
  <c r="A1114" i="5"/>
  <c r="B1113" i="5"/>
  <c r="A1113" i="5"/>
  <c r="B1112" i="5"/>
  <c r="A1112" i="5"/>
  <c r="B1111" i="5"/>
  <c r="A1111" i="5"/>
  <c r="B1110" i="5"/>
  <c r="A1110" i="5"/>
  <c r="B1109" i="5"/>
  <c r="A1109" i="5"/>
  <c r="B1108" i="5"/>
  <c r="A1108" i="5"/>
  <c r="B1107" i="5"/>
  <c r="A1107" i="5"/>
  <c r="B1106" i="5"/>
  <c r="A1106" i="5"/>
  <c r="B1105" i="5"/>
  <c r="A1105" i="5"/>
  <c r="B1104" i="5"/>
  <c r="A1104" i="5"/>
  <c r="B1103" i="5"/>
  <c r="A1103" i="5"/>
  <c r="B1102" i="5"/>
  <c r="A1102" i="5"/>
  <c r="B1101" i="5"/>
  <c r="A1101" i="5"/>
  <c r="B1100" i="5"/>
  <c r="A1100" i="5"/>
  <c r="B1099" i="5"/>
  <c r="A1099" i="5"/>
  <c r="B1098" i="5"/>
  <c r="A1098" i="5"/>
  <c r="B1097" i="5"/>
  <c r="A1097" i="5"/>
  <c r="B1096" i="5"/>
  <c r="A1096" i="5"/>
  <c r="B1095" i="5"/>
  <c r="A1095" i="5"/>
  <c r="B1094" i="5"/>
  <c r="A1094" i="5"/>
  <c r="B1093" i="5"/>
  <c r="A1093" i="5"/>
  <c r="B1092" i="5"/>
  <c r="A1092" i="5"/>
  <c r="B1091" i="5"/>
  <c r="A1091" i="5"/>
  <c r="B1090" i="5"/>
  <c r="A1090" i="5"/>
  <c r="B1089" i="5"/>
  <c r="A1089" i="5"/>
  <c r="B1088" i="5"/>
  <c r="A1088" i="5"/>
  <c r="B1087" i="5"/>
  <c r="A1087" i="5"/>
  <c r="B1086" i="5"/>
  <c r="A1086" i="5"/>
  <c r="B1085" i="5"/>
  <c r="A1085" i="5"/>
  <c r="B1084" i="5"/>
  <c r="A1084" i="5"/>
  <c r="B1083" i="5"/>
  <c r="A1083" i="5"/>
  <c r="B1082" i="5"/>
  <c r="A1082" i="5"/>
  <c r="B1081" i="5"/>
  <c r="A1081" i="5"/>
  <c r="B1080" i="5"/>
  <c r="A1080" i="5"/>
  <c r="B1079" i="5"/>
  <c r="A1079" i="5"/>
  <c r="B1078" i="5"/>
  <c r="A1078" i="5"/>
  <c r="B1077" i="5"/>
  <c r="A1077" i="5"/>
  <c r="B1076" i="5"/>
  <c r="A1076" i="5"/>
  <c r="B1075" i="5"/>
  <c r="A1075" i="5"/>
  <c r="B1074" i="5"/>
  <c r="A1074" i="5"/>
  <c r="B1073" i="5"/>
  <c r="A1073" i="5"/>
  <c r="B1072" i="5"/>
  <c r="A1072" i="5"/>
  <c r="B1071" i="5"/>
  <c r="A1071" i="5"/>
  <c r="B1070" i="5"/>
  <c r="A1070" i="5"/>
  <c r="B1069" i="5"/>
  <c r="A1069" i="5"/>
  <c r="B1068" i="5"/>
  <c r="A1068" i="5"/>
  <c r="B1067" i="5"/>
  <c r="A1067" i="5"/>
  <c r="B1066" i="5"/>
  <c r="A1066" i="5"/>
  <c r="B1065" i="5"/>
  <c r="A1065" i="5"/>
  <c r="B1064" i="5"/>
  <c r="A1064" i="5"/>
  <c r="B1063" i="5"/>
  <c r="A1063" i="5"/>
  <c r="B1062" i="5"/>
  <c r="A1062" i="5"/>
  <c r="B1061" i="5"/>
  <c r="A1061" i="5"/>
  <c r="B1060" i="5"/>
  <c r="A1060" i="5"/>
  <c r="B1059" i="5"/>
  <c r="A1059" i="5"/>
  <c r="B1058" i="5"/>
  <c r="A1058" i="5"/>
  <c r="B1057" i="5"/>
  <c r="A1057" i="5"/>
  <c r="B1056" i="5"/>
  <c r="A1056" i="5"/>
  <c r="B1055" i="5"/>
  <c r="A1055" i="5"/>
  <c r="B1054" i="5"/>
  <c r="A1054" i="5"/>
  <c r="B1053" i="5"/>
  <c r="A1053" i="5"/>
  <c r="B1052" i="5"/>
  <c r="A1052" i="5"/>
  <c r="B1051" i="5"/>
  <c r="A1051" i="5"/>
  <c r="B1050" i="5"/>
  <c r="A1050" i="5"/>
  <c r="B1049" i="5"/>
  <c r="A1049" i="5"/>
  <c r="B1048" i="5"/>
  <c r="A1048" i="5"/>
  <c r="B1047" i="5"/>
  <c r="A1047" i="5"/>
  <c r="B1046" i="5"/>
  <c r="A1046" i="5"/>
  <c r="B1045" i="5"/>
  <c r="A1045" i="5"/>
  <c r="B1044" i="5"/>
  <c r="A1044" i="5"/>
  <c r="B1043" i="5"/>
  <c r="A1043" i="5"/>
  <c r="B1042" i="5"/>
  <c r="A1042" i="5"/>
  <c r="B1041" i="5"/>
  <c r="A1041" i="5"/>
  <c r="B1040" i="5"/>
  <c r="A1040" i="5"/>
  <c r="B1039" i="5"/>
  <c r="A1039" i="5"/>
  <c r="B1038" i="5"/>
  <c r="A1038" i="5"/>
  <c r="B1037" i="5"/>
  <c r="A1037" i="5"/>
  <c r="B1036" i="5"/>
  <c r="A1036" i="5"/>
  <c r="B1035" i="5"/>
  <c r="A1035" i="5"/>
  <c r="B1034" i="5"/>
  <c r="A1034" i="5"/>
  <c r="B1033" i="5"/>
  <c r="A1033" i="5"/>
  <c r="B1032" i="5"/>
  <c r="A1032" i="5"/>
  <c r="B1031" i="5"/>
  <c r="A1031" i="5"/>
  <c r="B1030" i="5"/>
  <c r="A1030" i="5"/>
  <c r="B1029" i="5"/>
  <c r="A1029" i="5"/>
  <c r="B1028" i="5"/>
  <c r="A1028" i="5"/>
  <c r="B1027" i="5"/>
  <c r="A1027" i="5"/>
  <c r="B1026" i="5"/>
  <c r="A1026" i="5"/>
  <c r="B1025" i="5"/>
  <c r="A1025" i="5"/>
  <c r="B1024" i="5"/>
  <c r="A1024" i="5"/>
  <c r="B1023" i="5"/>
  <c r="A1023" i="5"/>
  <c r="B1022" i="5"/>
  <c r="A1022" i="5"/>
  <c r="B1021" i="5"/>
  <c r="A1021" i="5"/>
  <c r="B1020" i="5"/>
  <c r="A1020" i="5"/>
  <c r="B1019" i="5"/>
  <c r="A1019" i="5"/>
  <c r="B1018" i="5"/>
  <c r="A1018" i="5"/>
  <c r="B1017" i="5"/>
  <c r="A1017" i="5"/>
  <c r="B1016" i="5"/>
  <c r="A1016" i="5"/>
  <c r="B1015" i="5"/>
  <c r="A1015" i="5"/>
  <c r="B1014" i="5"/>
  <c r="A1014" i="5"/>
  <c r="B1013" i="5"/>
  <c r="A1013" i="5"/>
  <c r="B1012" i="5"/>
  <c r="A1012" i="5"/>
  <c r="B1011" i="5"/>
  <c r="A1011" i="5"/>
  <c r="B1010" i="5"/>
  <c r="A1010" i="5"/>
  <c r="B1009" i="5"/>
  <c r="A1009" i="5"/>
  <c r="B1008" i="5"/>
  <c r="A1008" i="5"/>
  <c r="B1007" i="5"/>
  <c r="A1007" i="5"/>
  <c r="B1006" i="5"/>
  <c r="A1006" i="5"/>
  <c r="B1005" i="5"/>
  <c r="A1005" i="5"/>
  <c r="B1004" i="5"/>
  <c r="A1004" i="5"/>
  <c r="B1003" i="5"/>
  <c r="A1003" i="5"/>
  <c r="B1002" i="5"/>
  <c r="A1002" i="5"/>
  <c r="B1001" i="5"/>
  <c r="A1001" i="5"/>
  <c r="B1000" i="5"/>
  <c r="A1000" i="5"/>
  <c r="B999" i="5"/>
  <c r="A999" i="5"/>
  <c r="B998" i="5"/>
  <c r="A998" i="5"/>
  <c r="B997" i="5"/>
  <c r="A997" i="5"/>
  <c r="B996" i="5"/>
  <c r="A996" i="5"/>
  <c r="B995" i="5"/>
  <c r="A995" i="5"/>
  <c r="B994" i="5"/>
  <c r="A994" i="5"/>
  <c r="B993" i="5"/>
  <c r="A993" i="5"/>
  <c r="B992" i="5"/>
  <c r="A992" i="5"/>
  <c r="B991" i="5"/>
  <c r="A991" i="5"/>
  <c r="B990" i="5"/>
  <c r="A990" i="5"/>
  <c r="B989" i="5"/>
  <c r="A989" i="5"/>
  <c r="B988" i="5"/>
  <c r="A988" i="5"/>
  <c r="B987" i="5"/>
  <c r="A987" i="5"/>
  <c r="B986" i="5"/>
  <c r="A986" i="5"/>
  <c r="B985" i="5"/>
  <c r="A985" i="5"/>
  <c r="B984" i="5"/>
  <c r="A984" i="5"/>
  <c r="B983" i="5"/>
  <c r="A983" i="5"/>
  <c r="B982" i="5"/>
  <c r="A982" i="5"/>
  <c r="B981" i="5"/>
  <c r="A981" i="5"/>
  <c r="B980" i="5"/>
  <c r="A980" i="5"/>
  <c r="B979" i="5"/>
  <c r="A979" i="5"/>
  <c r="B978" i="5"/>
  <c r="A978" i="5"/>
  <c r="B977" i="5"/>
  <c r="A977" i="5"/>
  <c r="B976" i="5"/>
  <c r="A976" i="5"/>
  <c r="B975" i="5"/>
  <c r="A975" i="5"/>
  <c r="B974" i="5"/>
  <c r="A974" i="5"/>
  <c r="B973" i="5"/>
  <c r="A973" i="5"/>
  <c r="B972" i="5"/>
  <c r="A972" i="5"/>
  <c r="B971" i="5"/>
  <c r="A971" i="5"/>
  <c r="B970" i="5"/>
  <c r="A970" i="5"/>
  <c r="B969" i="5"/>
  <c r="A969" i="5"/>
  <c r="B968" i="5"/>
  <c r="A968" i="5"/>
  <c r="B967" i="5"/>
  <c r="A967" i="5"/>
  <c r="B966" i="5"/>
  <c r="A966" i="5"/>
  <c r="B965" i="5"/>
  <c r="A965" i="5"/>
  <c r="B964" i="5"/>
  <c r="A964" i="5"/>
  <c r="B963" i="5"/>
  <c r="A963" i="5"/>
  <c r="B962" i="5"/>
  <c r="A962" i="5"/>
  <c r="B961" i="5"/>
  <c r="A961" i="5"/>
  <c r="B960" i="5"/>
  <c r="A960" i="5"/>
  <c r="B959" i="5"/>
  <c r="A959" i="5"/>
  <c r="B958" i="5"/>
  <c r="A958" i="5"/>
  <c r="B957" i="5"/>
  <c r="A957" i="5"/>
  <c r="B956" i="5"/>
  <c r="A956" i="5"/>
  <c r="B955" i="5"/>
  <c r="A955" i="5"/>
  <c r="B954" i="5"/>
  <c r="A954" i="5"/>
  <c r="B953" i="5"/>
  <c r="A953" i="5"/>
  <c r="B952" i="5"/>
  <c r="A952" i="5"/>
  <c r="B951" i="5"/>
  <c r="A951" i="5"/>
  <c r="B950" i="5"/>
  <c r="A950" i="5"/>
  <c r="B949" i="5"/>
  <c r="A949" i="5"/>
  <c r="B948" i="5"/>
  <c r="A948" i="5"/>
  <c r="B947" i="5"/>
  <c r="A947" i="5"/>
  <c r="B946" i="5"/>
  <c r="A946" i="5"/>
  <c r="B945" i="5"/>
  <c r="A945" i="5"/>
  <c r="B944" i="5"/>
  <c r="A944" i="5"/>
  <c r="B943" i="5"/>
  <c r="A943" i="5"/>
  <c r="B942" i="5"/>
  <c r="A942" i="5"/>
  <c r="B941" i="5"/>
  <c r="A941" i="5"/>
  <c r="B940" i="5"/>
  <c r="A940" i="5"/>
  <c r="B939" i="5"/>
  <c r="A939" i="5"/>
  <c r="B938" i="5"/>
  <c r="A938" i="5"/>
  <c r="B937" i="5"/>
  <c r="A937" i="5"/>
  <c r="B936" i="5"/>
  <c r="A936" i="5"/>
  <c r="B935" i="5"/>
  <c r="A935" i="5"/>
  <c r="B934" i="5"/>
  <c r="A934" i="5"/>
  <c r="B933" i="5"/>
  <c r="A933" i="5"/>
  <c r="B932" i="5"/>
  <c r="A932" i="5"/>
  <c r="B931" i="5"/>
  <c r="A931" i="5"/>
  <c r="B930" i="5"/>
  <c r="A930" i="5"/>
  <c r="B929" i="5"/>
  <c r="A929" i="5"/>
  <c r="B928" i="5"/>
  <c r="A928" i="5"/>
  <c r="B927" i="5"/>
  <c r="A927" i="5"/>
  <c r="B926" i="5"/>
  <c r="A926" i="5"/>
  <c r="B925" i="5"/>
  <c r="A925" i="5"/>
  <c r="B924" i="5"/>
  <c r="A924" i="5"/>
  <c r="B923" i="5"/>
  <c r="A923" i="5"/>
  <c r="B922" i="5"/>
  <c r="A922" i="5"/>
  <c r="B921" i="5"/>
  <c r="A921" i="5"/>
  <c r="B920" i="5"/>
  <c r="A920" i="5"/>
  <c r="B919" i="5"/>
  <c r="A919" i="5"/>
  <c r="B918" i="5"/>
  <c r="A918" i="5"/>
  <c r="B917" i="5"/>
  <c r="A917" i="5"/>
  <c r="B916" i="5"/>
  <c r="A916" i="5"/>
  <c r="B915" i="5"/>
  <c r="A915" i="5"/>
  <c r="B914" i="5"/>
  <c r="A914" i="5"/>
  <c r="B913" i="5"/>
  <c r="A913" i="5"/>
  <c r="B912" i="5"/>
  <c r="A912" i="5"/>
  <c r="B911" i="5"/>
  <c r="A911" i="5"/>
  <c r="B910" i="5"/>
  <c r="A910" i="5"/>
  <c r="B909" i="5"/>
  <c r="A909" i="5"/>
  <c r="B908" i="5"/>
  <c r="A908" i="5"/>
  <c r="B907" i="5"/>
  <c r="A907" i="5"/>
  <c r="B906" i="5"/>
  <c r="A906" i="5"/>
  <c r="B905" i="5"/>
  <c r="A905" i="5"/>
  <c r="B904" i="5"/>
  <c r="A904" i="5"/>
  <c r="B903" i="5"/>
  <c r="A903" i="5"/>
  <c r="B902" i="5"/>
  <c r="A902" i="5"/>
  <c r="B901" i="5"/>
  <c r="A901" i="5"/>
  <c r="B900" i="5"/>
  <c r="A900" i="5"/>
  <c r="B899" i="5"/>
  <c r="A899" i="5"/>
  <c r="B898" i="5"/>
  <c r="A898" i="5"/>
  <c r="B897" i="5"/>
  <c r="A897" i="5"/>
  <c r="B896" i="5"/>
  <c r="A896" i="5"/>
  <c r="B895" i="5"/>
  <c r="A895" i="5"/>
  <c r="B894" i="5"/>
  <c r="A894" i="5"/>
  <c r="B893" i="5"/>
  <c r="A893" i="5"/>
  <c r="B892" i="5"/>
  <c r="A892" i="5"/>
  <c r="B891" i="5"/>
  <c r="A891" i="5"/>
  <c r="B890" i="5"/>
  <c r="A890" i="5"/>
  <c r="B889" i="5"/>
  <c r="A889" i="5"/>
  <c r="B888" i="5"/>
  <c r="A888" i="5"/>
  <c r="B887" i="5"/>
  <c r="A887" i="5"/>
  <c r="B886" i="5"/>
  <c r="A886" i="5"/>
  <c r="B885" i="5"/>
  <c r="A885" i="5"/>
  <c r="B884" i="5"/>
  <c r="A884" i="5"/>
  <c r="B883" i="5"/>
  <c r="A883" i="5"/>
  <c r="B882" i="5"/>
  <c r="A882" i="5"/>
  <c r="B881" i="5"/>
  <c r="A881" i="5"/>
  <c r="B880" i="5"/>
  <c r="A880" i="5"/>
  <c r="B879" i="5"/>
  <c r="A879" i="5"/>
  <c r="B878" i="5"/>
  <c r="A878" i="5"/>
  <c r="B877" i="5"/>
  <c r="A877" i="5"/>
  <c r="B876" i="5"/>
  <c r="A876" i="5"/>
  <c r="B875" i="5"/>
  <c r="A875" i="5"/>
  <c r="B874" i="5"/>
  <c r="A874" i="5"/>
  <c r="B873" i="5"/>
  <c r="A873" i="5"/>
  <c r="B872" i="5"/>
  <c r="A872" i="5"/>
  <c r="B871" i="5"/>
  <c r="A871" i="5"/>
  <c r="B870" i="5"/>
  <c r="A870" i="5"/>
  <c r="B869" i="5"/>
  <c r="A869" i="5"/>
  <c r="B868" i="5"/>
  <c r="A868" i="5"/>
  <c r="B867" i="5"/>
  <c r="A867" i="5"/>
  <c r="B866" i="5"/>
  <c r="A866" i="5"/>
  <c r="B865" i="5"/>
  <c r="A865" i="5"/>
  <c r="B864" i="5"/>
  <c r="A864" i="5"/>
  <c r="B863" i="5"/>
  <c r="A863" i="5"/>
  <c r="B862" i="5"/>
  <c r="A862" i="5"/>
  <c r="B861" i="5"/>
  <c r="A861" i="5"/>
  <c r="B860" i="5"/>
  <c r="A860" i="5"/>
  <c r="B859" i="5"/>
  <c r="A859" i="5"/>
  <c r="B858" i="5"/>
  <c r="A858" i="5"/>
  <c r="B857" i="5"/>
  <c r="A857" i="5"/>
  <c r="B856" i="5"/>
  <c r="A856" i="5"/>
  <c r="B855" i="5"/>
  <c r="A855" i="5"/>
  <c r="B854" i="5"/>
  <c r="A854" i="5"/>
  <c r="B853" i="5"/>
  <c r="A853" i="5"/>
  <c r="B852" i="5"/>
  <c r="A852" i="5"/>
  <c r="B851" i="5"/>
  <c r="A851" i="5"/>
  <c r="B850" i="5"/>
  <c r="A850" i="5"/>
  <c r="B849" i="5"/>
  <c r="A849" i="5"/>
  <c r="B848" i="5"/>
  <c r="A848" i="5"/>
  <c r="B847" i="5"/>
  <c r="A847" i="5"/>
  <c r="B846" i="5"/>
  <c r="A846" i="5"/>
  <c r="B845" i="5"/>
  <c r="A845" i="5"/>
  <c r="B844" i="5"/>
  <c r="A844" i="5"/>
  <c r="B843" i="5"/>
  <c r="A843" i="5"/>
  <c r="B842" i="5"/>
  <c r="A842" i="5"/>
  <c r="B841" i="5"/>
  <c r="A841" i="5"/>
  <c r="B840" i="5"/>
  <c r="A840" i="5"/>
  <c r="B839" i="5"/>
  <c r="A839" i="5"/>
  <c r="B838" i="5"/>
  <c r="A838" i="5"/>
  <c r="B837" i="5"/>
  <c r="A837" i="5"/>
  <c r="B836" i="5"/>
  <c r="A836" i="5"/>
  <c r="B835" i="5"/>
  <c r="A835" i="5"/>
  <c r="B834" i="5"/>
  <c r="A834" i="5"/>
  <c r="B833" i="5"/>
  <c r="A833" i="5"/>
  <c r="B832" i="5"/>
  <c r="A832" i="5"/>
  <c r="B831" i="5"/>
  <c r="A831" i="5"/>
  <c r="B830" i="5"/>
  <c r="A830" i="5"/>
  <c r="B829" i="5"/>
  <c r="A829" i="5"/>
  <c r="B828" i="5"/>
  <c r="A828" i="5"/>
  <c r="B827" i="5"/>
  <c r="A827" i="5"/>
  <c r="B826" i="5"/>
  <c r="A826" i="5"/>
  <c r="B825" i="5"/>
  <c r="A825" i="5"/>
  <c r="B824" i="5"/>
  <c r="A824" i="5"/>
  <c r="B823" i="5"/>
  <c r="A823" i="5"/>
  <c r="B822" i="5"/>
  <c r="A822" i="5"/>
  <c r="B821" i="5"/>
  <c r="A821" i="5"/>
  <c r="B820" i="5"/>
  <c r="A820" i="5"/>
  <c r="B819" i="5"/>
  <c r="A819" i="5"/>
  <c r="B818" i="5"/>
  <c r="A818" i="5"/>
  <c r="B817" i="5"/>
  <c r="A817" i="5"/>
  <c r="B816" i="5"/>
  <c r="A816" i="5"/>
  <c r="B815" i="5"/>
  <c r="A815" i="5"/>
  <c r="B814" i="5"/>
  <c r="A814" i="5"/>
  <c r="B813" i="5"/>
  <c r="A813" i="5"/>
  <c r="B812" i="5"/>
  <c r="A812" i="5"/>
  <c r="B811" i="5"/>
  <c r="A811" i="5"/>
  <c r="B810" i="5"/>
  <c r="A810" i="5"/>
  <c r="B809" i="5"/>
  <c r="A809" i="5"/>
  <c r="B808" i="5"/>
  <c r="A808" i="5"/>
  <c r="B807" i="5"/>
  <c r="A807" i="5"/>
  <c r="B806" i="5"/>
  <c r="A806" i="5"/>
  <c r="B805" i="5"/>
  <c r="A805" i="5"/>
  <c r="B804" i="5"/>
  <c r="A804" i="5"/>
  <c r="B803" i="5"/>
  <c r="A803" i="5"/>
  <c r="B802" i="5"/>
  <c r="A802" i="5"/>
  <c r="B801" i="5"/>
  <c r="A801" i="5"/>
  <c r="B800" i="5"/>
  <c r="A800" i="5"/>
  <c r="B799" i="5"/>
  <c r="A799" i="5"/>
  <c r="B798" i="5"/>
  <c r="A798" i="5"/>
  <c r="B797" i="5"/>
  <c r="A797" i="5"/>
  <c r="B796" i="5"/>
  <c r="A796" i="5"/>
  <c r="B795" i="5"/>
  <c r="A795" i="5"/>
  <c r="B794" i="5"/>
  <c r="A794" i="5"/>
  <c r="B793" i="5"/>
  <c r="A793" i="5"/>
  <c r="B792" i="5"/>
  <c r="A792" i="5"/>
  <c r="B791" i="5"/>
  <c r="A791" i="5"/>
  <c r="B790" i="5"/>
  <c r="A790" i="5"/>
  <c r="B789" i="5"/>
  <c r="A789" i="5"/>
  <c r="B788" i="5"/>
  <c r="A788" i="5"/>
  <c r="B787" i="5"/>
  <c r="A787" i="5"/>
  <c r="B786" i="5"/>
  <c r="A786" i="5"/>
  <c r="B785" i="5"/>
  <c r="A785" i="5"/>
  <c r="B784" i="5"/>
  <c r="A784" i="5"/>
  <c r="B783" i="5"/>
  <c r="A783" i="5"/>
  <c r="B782" i="5"/>
  <c r="A782" i="5"/>
  <c r="B781" i="5"/>
  <c r="A781" i="5"/>
  <c r="B780" i="5"/>
  <c r="A780" i="5"/>
  <c r="B779" i="5"/>
  <c r="A779" i="5"/>
  <c r="B778" i="5"/>
  <c r="A778" i="5"/>
  <c r="B777" i="5"/>
  <c r="A777" i="5"/>
  <c r="B776" i="5"/>
  <c r="A776" i="5"/>
  <c r="B775" i="5"/>
  <c r="A775" i="5"/>
  <c r="B774" i="5"/>
  <c r="A774" i="5"/>
  <c r="B773" i="5"/>
  <c r="A773" i="5"/>
  <c r="B772" i="5"/>
  <c r="A772" i="5"/>
  <c r="B771" i="5"/>
  <c r="A771" i="5"/>
  <c r="B770" i="5"/>
  <c r="A770" i="5"/>
  <c r="B769" i="5"/>
  <c r="A769" i="5"/>
  <c r="B768" i="5"/>
  <c r="A768" i="5"/>
  <c r="B767" i="5"/>
  <c r="A767" i="5"/>
  <c r="B766" i="5"/>
  <c r="A766" i="5"/>
  <c r="B765" i="5"/>
  <c r="A765" i="5"/>
  <c r="B764" i="5"/>
  <c r="A764" i="5"/>
  <c r="B763" i="5"/>
  <c r="A763" i="5"/>
  <c r="B762" i="5"/>
  <c r="A762" i="5"/>
  <c r="B761" i="5"/>
  <c r="A761" i="5"/>
  <c r="B760" i="5"/>
  <c r="A760" i="5"/>
  <c r="B759" i="5"/>
  <c r="A759" i="5"/>
  <c r="B758" i="5"/>
  <c r="A758" i="5"/>
  <c r="B757" i="5"/>
  <c r="A757" i="5"/>
  <c r="B756" i="5"/>
  <c r="A756" i="5"/>
  <c r="B755" i="5"/>
  <c r="A755" i="5"/>
  <c r="B754" i="5"/>
  <c r="A754" i="5"/>
  <c r="B753" i="5"/>
  <c r="A753" i="5"/>
  <c r="B752" i="5"/>
  <c r="A752" i="5"/>
  <c r="B751" i="5"/>
  <c r="A751" i="5"/>
  <c r="B750" i="5"/>
  <c r="A750" i="5"/>
  <c r="B749" i="5"/>
  <c r="A749" i="5"/>
  <c r="B748" i="5"/>
  <c r="A748" i="5"/>
  <c r="B747" i="5"/>
  <c r="A747" i="5"/>
  <c r="B746" i="5"/>
  <c r="A746" i="5"/>
  <c r="B745" i="5"/>
  <c r="A745" i="5"/>
  <c r="B744" i="5"/>
  <c r="A744" i="5"/>
  <c r="B743" i="5"/>
  <c r="A743" i="5"/>
  <c r="B742" i="5"/>
  <c r="A742" i="5"/>
  <c r="B741" i="5"/>
  <c r="A741" i="5"/>
  <c r="B740" i="5"/>
  <c r="A740" i="5"/>
  <c r="B739" i="5"/>
  <c r="A739" i="5"/>
  <c r="B738" i="5"/>
  <c r="A738" i="5"/>
  <c r="B737" i="5"/>
  <c r="A737" i="5"/>
  <c r="B736" i="5"/>
  <c r="A736" i="5"/>
  <c r="B735" i="5"/>
  <c r="A735" i="5"/>
  <c r="B734" i="5"/>
  <c r="A734" i="5"/>
  <c r="B733" i="5"/>
  <c r="A733" i="5"/>
  <c r="B732" i="5"/>
  <c r="A732" i="5"/>
  <c r="B731" i="5"/>
  <c r="A731" i="5"/>
  <c r="B730" i="5"/>
  <c r="A730" i="5"/>
  <c r="B729" i="5"/>
  <c r="A729" i="5"/>
  <c r="B728" i="5"/>
  <c r="A728" i="5"/>
  <c r="B727" i="5"/>
  <c r="A727" i="5"/>
  <c r="B726" i="5"/>
  <c r="A726" i="5"/>
  <c r="B725" i="5"/>
  <c r="A725" i="5"/>
  <c r="B724" i="5"/>
  <c r="A724" i="5"/>
  <c r="B723" i="5"/>
  <c r="A723" i="5"/>
  <c r="B722" i="5"/>
  <c r="A722" i="5"/>
  <c r="B721" i="5"/>
  <c r="A721" i="5"/>
  <c r="B720" i="5"/>
  <c r="A720" i="5"/>
  <c r="B719" i="5"/>
  <c r="A719" i="5"/>
  <c r="B718" i="5"/>
  <c r="A718" i="5"/>
  <c r="B717" i="5"/>
  <c r="A717" i="5"/>
  <c r="B716" i="5"/>
  <c r="A716" i="5"/>
  <c r="B715" i="5"/>
  <c r="A715" i="5"/>
  <c r="B714" i="5"/>
  <c r="A714" i="5"/>
  <c r="B713" i="5"/>
  <c r="A713" i="5"/>
  <c r="B712" i="5"/>
  <c r="A712" i="5"/>
  <c r="B711" i="5"/>
  <c r="A711" i="5"/>
  <c r="B710" i="5"/>
  <c r="A710" i="5"/>
  <c r="B709" i="5"/>
  <c r="A709" i="5"/>
  <c r="B708" i="5"/>
  <c r="A708" i="5"/>
  <c r="B707" i="5"/>
  <c r="A707" i="5"/>
  <c r="B706" i="5"/>
  <c r="A706" i="5"/>
  <c r="B705" i="5"/>
  <c r="A705" i="5"/>
  <c r="B704" i="5"/>
  <c r="A704" i="5"/>
  <c r="B703" i="5"/>
  <c r="A703" i="5"/>
  <c r="B702" i="5"/>
  <c r="A702" i="5"/>
  <c r="B701" i="5"/>
  <c r="A701" i="5"/>
  <c r="B700" i="5"/>
  <c r="A700" i="5"/>
  <c r="B699" i="5"/>
  <c r="A699" i="5"/>
  <c r="B698" i="5"/>
  <c r="A698" i="5"/>
  <c r="B697" i="5"/>
  <c r="A697" i="5"/>
  <c r="B696" i="5"/>
  <c r="A696" i="5"/>
  <c r="B695" i="5"/>
  <c r="A695" i="5"/>
  <c r="B694" i="5"/>
  <c r="A694" i="5"/>
  <c r="B693" i="5"/>
  <c r="A693" i="5"/>
  <c r="B692" i="5"/>
  <c r="A692" i="5"/>
  <c r="B691" i="5"/>
  <c r="A691" i="5"/>
  <c r="B690" i="5"/>
  <c r="A690" i="5"/>
  <c r="B689" i="5"/>
  <c r="A689" i="5"/>
  <c r="B688" i="5"/>
  <c r="A688" i="5"/>
  <c r="B687" i="5"/>
  <c r="A687" i="5"/>
  <c r="B686" i="5"/>
  <c r="A686" i="5"/>
  <c r="B685" i="5"/>
  <c r="A685" i="5"/>
  <c r="B684" i="5"/>
  <c r="A684" i="5"/>
  <c r="B683" i="5"/>
  <c r="A683" i="5"/>
  <c r="B682" i="5"/>
  <c r="A682" i="5"/>
  <c r="B681" i="5"/>
  <c r="A681" i="5"/>
  <c r="B680" i="5"/>
  <c r="A680" i="5"/>
  <c r="B679" i="5"/>
  <c r="A679" i="5"/>
  <c r="B678" i="5"/>
  <c r="A678" i="5"/>
  <c r="B677" i="5"/>
  <c r="A677" i="5"/>
  <c r="B676" i="5"/>
  <c r="A676" i="5"/>
  <c r="B675" i="5"/>
  <c r="A675" i="5"/>
  <c r="B674" i="5"/>
  <c r="A674" i="5"/>
  <c r="B673" i="5"/>
  <c r="A673" i="5"/>
  <c r="B672" i="5"/>
  <c r="A672" i="5"/>
  <c r="B671" i="5"/>
  <c r="A671" i="5"/>
  <c r="B670" i="5"/>
  <c r="A670" i="5"/>
  <c r="B669" i="5"/>
  <c r="A669" i="5"/>
  <c r="B668" i="5"/>
  <c r="A668" i="5"/>
  <c r="B667" i="5"/>
  <c r="A667" i="5"/>
  <c r="B666" i="5"/>
  <c r="A666" i="5"/>
  <c r="B665" i="5"/>
  <c r="A665" i="5"/>
  <c r="B664" i="5"/>
  <c r="A664" i="5"/>
  <c r="B663" i="5"/>
  <c r="A663" i="5"/>
  <c r="B662" i="5"/>
  <c r="A662" i="5"/>
  <c r="B661" i="5"/>
  <c r="A661" i="5"/>
  <c r="B660" i="5"/>
  <c r="A660" i="5"/>
  <c r="B659" i="5"/>
  <c r="A659" i="5"/>
  <c r="B658" i="5"/>
  <c r="A658" i="5"/>
  <c r="B657" i="5"/>
  <c r="A657" i="5"/>
  <c r="B656" i="5"/>
  <c r="A656" i="5"/>
  <c r="B655" i="5"/>
  <c r="A655" i="5"/>
  <c r="B654" i="5"/>
  <c r="A654" i="5"/>
  <c r="B653" i="5"/>
  <c r="A653" i="5"/>
  <c r="B652" i="5"/>
  <c r="A652" i="5"/>
  <c r="B651" i="5"/>
  <c r="A651" i="5"/>
  <c r="B650" i="5"/>
  <c r="A650" i="5"/>
  <c r="B649" i="5"/>
  <c r="A649" i="5"/>
  <c r="B648" i="5"/>
  <c r="A648" i="5"/>
  <c r="B647" i="5"/>
  <c r="A647" i="5"/>
  <c r="B646" i="5"/>
  <c r="A646" i="5"/>
  <c r="B645" i="5"/>
  <c r="A645" i="5"/>
  <c r="B644" i="5"/>
  <c r="A644" i="5"/>
  <c r="B643" i="5"/>
  <c r="A643" i="5"/>
  <c r="B642" i="5"/>
  <c r="A642" i="5"/>
  <c r="B641" i="5"/>
  <c r="A641" i="5"/>
  <c r="B640" i="5"/>
  <c r="A640" i="5"/>
  <c r="B639" i="5"/>
  <c r="A639" i="5"/>
  <c r="B638" i="5"/>
  <c r="A638" i="5"/>
  <c r="B637" i="5"/>
  <c r="A637" i="5"/>
  <c r="B636" i="5"/>
  <c r="A636" i="5"/>
  <c r="B635" i="5"/>
  <c r="A635" i="5"/>
  <c r="B634" i="5"/>
  <c r="A634" i="5"/>
  <c r="B633" i="5"/>
  <c r="A633" i="5"/>
  <c r="B632" i="5"/>
  <c r="A632" i="5"/>
  <c r="B631" i="5"/>
  <c r="A631" i="5"/>
  <c r="B630" i="5"/>
  <c r="A630" i="5"/>
  <c r="B629" i="5"/>
  <c r="A629" i="5"/>
  <c r="B628" i="5"/>
  <c r="A628" i="5"/>
  <c r="B627" i="5"/>
  <c r="A627" i="5"/>
  <c r="B626" i="5"/>
  <c r="A626" i="5"/>
  <c r="B625" i="5"/>
  <c r="A625" i="5"/>
  <c r="B624" i="5"/>
  <c r="A624" i="5"/>
  <c r="B623" i="5"/>
  <c r="A623" i="5"/>
  <c r="B622" i="5"/>
  <c r="A622" i="5"/>
  <c r="B621" i="5"/>
  <c r="A621" i="5"/>
  <c r="B620" i="5"/>
  <c r="A620" i="5"/>
  <c r="B619" i="5"/>
  <c r="A619" i="5"/>
  <c r="B618" i="5"/>
  <c r="A618" i="5"/>
  <c r="B617" i="5"/>
  <c r="A617" i="5"/>
  <c r="B616" i="5"/>
  <c r="A616" i="5"/>
  <c r="B615" i="5"/>
  <c r="A615" i="5"/>
  <c r="B614" i="5"/>
  <c r="A614" i="5"/>
  <c r="B613" i="5"/>
  <c r="A613" i="5"/>
  <c r="B612" i="5"/>
  <c r="A612" i="5"/>
  <c r="B611" i="5"/>
  <c r="A611" i="5"/>
  <c r="B610" i="5"/>
  <c r="A610" i="5"/>
  <c r="B609" i="5"/>
  <c r="A609" i="5"/>
  <c r="B608" i="5"/>
  <c r="A608" i="5"/>
  <c r="B607" i="5"/>
  <c r="A607" i="5"/>
  <c r="B606" i="5"/>
  <c r="A606" i="5"/>
  <c r="B605" i="5"/>
  <c r="A605" i="5"/>
  <c r="B604" i="5"/>
  <c r="A604" i="5"/>
  <c r="B603" i="5"/>
  <c r="A603" i="5"/>
  <c r="B602" i="5"/>
  <c r="A602" i="5"/>
  <c r="B601" i="5"/>
  <c r="A601" i="5"/>
  <c r="B600" i="5"/>
  <c r="A600" i="5"/>
  <c r="B599" i="5"/>
  <c r="A599" i="5"/>
  <c r="B598" i="5"/>
  <c r="A598" i="5"/>
  <c r="B597" i="5"/>
  <c r="A597" i="5"/>
  <c r="B596" i="5"/>
  <c r="A596" i="5"/>
  <c r="B595" i="5"/>
  <c r="A595" i="5"/>
  <c r="B594" i="5"/>
  <c r="A594" i="5"/>
  <c r="B593" i="5"/>
  <c r="A593" i="5"/>
  <c r="B592" i="5"/>
  <c r="A592" i="5"/>
  <c r="B591" i="5"/>
  <c r="A591" i="5"/>
  <c r="B590" i="5"/>
  <c r="A590" i="5"/>
  <c r="B589" i="5"/>
  <c r="A589" i="5"/>
  <c r="B588" i="5"/>
  <c r="A588" i="5"/>
  <c r="B587" i="5"/>
  <c r="A587" i="5"/>
  <c r="B586" i="5"/>
  <c r="A586" i="5"/>
  <c r="B585" i="5"/>
  <c r="A585" i="5"/>
  <c r="B584" i="5"/>
  <c r="A584" i="5"/>
  <c r="B583" i="5"/>
  <c r="A583" i="5"/>
  <c r="B582" i="5"/>
  <c r="A582" i="5"/>
  <c r="B581" i="5"/>
  <c r="A581" i="5"/>
  <c r="B580" i="5"/>
  <c r="A580" i="5"/>
  <c r="B579" i="5"/>
  <c r="A579" i="5"/>
  <c r="B578" i="5"/>
  <c r="A578" i="5"/>
  <c r="B577" i="5"/>
  <c r="A577" i="5"/>
  <c r="B576" i="5"/>
  <c r="A576" i="5"/>
  <c r="B575" i="5"/>
  <c r="A575" i="5"/>
  <c r="B574" i="5"/>
  <c r="A574" i="5"/>
  <c r="B573" i="5"/>
  <c r="A573" i="5"/>
  <c r="B572" i="5"/>
  <c r="A572" i="5"/>
  <c r="B571" i="5"/>
  <c r="A571" i="5"/>
  <c r="B570" i="5"/>
  <c r="A570" i="5"/>
  <c r="B569" i="5"/>
  <c r="A569" i="5"/>
  <c r="B568" i="5"/>
  <c r="A568" i="5"/>
  <c r="B567" i="5"/>
  <c r="A567" i="5"/>
  <c r="B566" i="5"/>
  <c r="A566" i="5"/>
  <c r="B565" i="5"/>
  <c r="A565" i="5"/>
  <c r="B564" i="5"/>
  <c r="A564" i="5"/>
  <c r="B563" i="5"/>
  <c r="A563" i="5"/>
  <c r="B562" i="5"/>
  <c r="A562" i="5"/>
  <c r="B561" i="5"/>
  <c r="A561" i="5"/>
  <c r="B560" i="5"/>
  <c r="A560" i="5"/>
  <c r="B559" i="5"/>
  <c r="A559" i="5"/>
  <c r="B558" i="5"/>
  <c r="A558" i="5"/>
  <c r="B557" i="5"/>
  <c r="A557" i="5"/>
  <c r="B556" i="5"/>
  <c r="A556" i="5"/>
  <c r="B555" i="5"/>
  <c r="A555" i="5"/>
  <c r="B554" i="5"/>
  <c r="A554" i="5"/>
  <c r="B553" i="5"/>
  <c r="A553" i="5"/>
  <c r="B552" i="5"/>
  <c r="A552" i="5"/>
  <c r="B551" i="5"/>
  <c r="A551" i="5"/>
  <c r="B550" i="5"/>
  <c r="A550" i="5"/>
  <c r="B549" i="5"/>
  <c r="A549" i="5"/>
  <c r="B548" i="5"/>
  <c r="A548" i="5"/>
  <c r="B547" i="5"/>
  <c r="A547" i="5"/>
  <c r="B546" i="5"/>
  <c r="A546" i="5"/>
  <c r="B545" i="5"/>
  <c r="A545" i="5"/>
  <c r="B544" i="5"/>
  <c r="A544" i="5"/>
  <c r="B543" i="5"/>
  <c r="A543" i="5"/>
  <c r="B542" i="5"/>
  <c r="A542" i="5"/>
  <c r="B541" i="5"/>
  <c r="A541" i="5"/>
  <c r="B540" i="5"/>
  <c r="A540" i="5"/>
  <c r="B539" i="5"/>
  <c r="A539" i="5"/>
  <c r="B538" i="5"/>
  <c r="A538" i="5"/>
  <c r="B537" i="5"/>
  <c r="A537" i="5"/>
  <c r="B536" i="5"/>
  <c r="A536" i="5"/>
  <c r="B535" i="5"/>
  <c r="A535" i="5"/>
  <c r="B534" i="5"/>
  <c r="A534" i="5"/>
  <c r="B533" i="5"/>
  <c r="A533" i="5"/>
  <c r="B532" i="5"/>
  <c r="A532" i="5"/>
  <c r="B531" i="5"/>
  <c r="A531" i="5"/>
  <c r="B530" i="5"/>
  <c r="A530" i="5"/>
  <c r="B529" i="5"/>
  <c r="A529" i="5"/>
  <c r="B528" i="5"/>
  <c r="A528" i="5"/>
  <c r="B527" i="5"/>
  <c r="A527" i="5"/>
  <c r="B526" i="5"/>
  <c r="A526" i="5"/>
  <c r="B525" i="5"/>
  <c r="A525" i="5"/>
  <c r="B524" i="5"/>
  <c r="A524" i="5"/>
  <c r="B523" i="5"/>
  <c r="A523" i="5"/>
  <c r="B522" i="5"/>
  <c r="A522" i="5"/>
  <c r="B521" i="5"/>
  <c r="A521" i="5"/>
  <c r="B520" i="5"/>
  <c r="A520" i="5"/>
  <c r="B519" i="5"/>
  <c r="A519" i="5"/>
  <c r="B518" i="5"/>
  <c r="A518" i="5"/>
  <c r="B517" i="5"/>
  <c r="A517" i="5"/>
  <c r="B516" i="5"/>
  <c r="A516" i="5"/>
  <c r="B515" i="5"/>
  <c r="A515" i="5"/>
  <c r="B514" i="5"/>
  <c r="A514" i="5"/>
  <c r="B513" i="5"/>
  <c r="A513" i="5"/>
  <c r="B512" i="5"/>
  <c r="A512" i="5"/>
  <c r="B511" i="5"/>
  <c r="A511" i="5"/>
  <c r="B510" i="5"/>
  <c r="A510" i="5"/>
  <c r="B509" i="5"/>
  <c r="A509" i="5"/>
  <c r="B508" i="5"/>
  <c r="A508" i="5"/>
  <c r="B507" i="5"/>
  <c r="A507" i="5"/>
  <c r="B506" i="5"/>
  <c r="A506" i="5"/>
  <c r="B505" i="5"/>
  <c r="A505" i="5"/>
  <c r="B504" i="5"/>
  <c r="A504" i="5"/>
  <c r="B503" i="5"/>
  <c r="A503" i="5"/>
  <c r="B502" i="5"/>
  <c r="A502" i="5"/>
  <c r="B501" i="5"/>
  <c r="A501" i="5"/>
  <c r="B500" i="5"/>
  <c r="A500" i="5"/>
  <c r="B499" i="5"/>
  <c r="A499" i="5"/>
  <c r="B498" i="5"/>
  <c r="A498" i="5"/>
  <c r="B497" i="5"/>
  <c r="A497" i="5"/>
  <c r="B496" i="5"/>
  <c r="A496" i="5"/>
  <c r="B495" i="5"/>
  <c r="A495" i="5"/>
  <c r="B494" i="5"/>
  <c r="A494" i="5"/>
  <c r="B493" i="5"/>
  <c r="A493" i="5"/>
  <c r="B492" i="5"/>
  <c r="A492" i="5"/>
  <c r="B491" i="5"/>
  <c r="A491" i="5"/>
  <c r="B490" i="5"/>
  <c r="A490" i="5"/>
  <c r="B489" i="5"/>
  <c r="A489" i="5"/>
  <c r="B488" i="5"/>
  <c r="A488" i="5"/>
  <c r="B487" i="5"/>
  <c r="A487" i="5"/>
  <c r="B486" i="5"/>
  <c r="A486" i="5"/>
  <c r="B485" i="5"/>
  <c r="A485" i="5"/>
  <c r="B484" i="5"/>
  <c r="A484" i="5"/>
  <c r="B483" i="5"/>
  <c r="A483" i="5"/>
  <c r="B482" i="5"/>
  <c r="A482" i="5"/>
  <c r="B481" i="5"/>
  <c r="A481" i="5"/>
  <c r="B480" i="5"/>
  <c r="A480" i="5"/>
  <c r="B479" i="5"/>
  <c r="A479" i="5"/>
  <c r="B478" i="5"/>
  <c r="A478" i="5"/>
  <c r="B477" i="5"/>
  <c r="A477" i="5"/>
  <c r="B476" i="5"/>
  <c r="A476" i="5"/>
  <c r="B475" i="5"/>
  <c r="A475" i="5"/>
  <c r="B474" i="5"/>
  <c r="A474" i="5"/>
  <c r="B473" i="5"/>
  <c r="A473" i="5"/>
  <c r="B472" i="5"/>
  <c r="A472" i="5"/>
  <c r="B471" i="5"/>
  <c r="A471" i="5"/>
  <c r="B470" i="5"/>
  <c r="A470" i="5"/>
  <c r="B469" i="5"/>
  <c r="A469" i="5"/>
  <c r="B468" i="5"/>
  <c r="A468" i="5"/>
  <c r="B467" i="5"/>
  <c r="A467" i="5"/>
  <c r="B466" i="5"/>
  <c r="A466" i="5"/>
  <c r="B465" i="5"/>
  <c r="A465" i="5"/>
  <c r="B464" i="5"/>
  <c r="A464" i="5"/>
  <c r="B463" i="5"/>
  <c r="A463" i="5"/>
  <c r="B462" i="5"/>
  <c r="A462" i="5"/>
  <c r="B461" i="5"/>
  <c r="A461" i="5"/>
  <c r="B460" i="5"/>
  <c r="A460" i="5"/>
  <c r="B459" i="5"/>
  <c r="A459" i="5"/>
  <c r="B458" i="5"/>
  <c r="A458" i="5"/>
  <c r="B457" i="5"/>
  <c r="A457" i="5"/>
  <c r="B456" i="5"/>
  <c r="A456" i="5"/>
  <c r="B455" i="5"/>
  <c r="A455" i="5"/>
  <c r="B454" i="5"/>
  <c r="A454" i="5"/>
  <c r="B453" i="5"/>
  <c r="A453" i="5"/>
  <c r="B452" i="5"/>
  <c r="A452" i="5"/>
  <c r="B451" i="5"/>
  <c r="A451" i="5"/>
  <c r="B450" i="5"/>
  <c r="A450" i="5"/>
  <c r="B449" i="5"/>
  <c r="A449" i="5"/>
  <c r="B448" i="5"/>
  <c r="A448" i="5"/>
  <c r="B447" i="5"/>
  <c r="A447" i="5"/>
  <c r="B446" i="5"/>
  <c r="A446" i="5"/>
  <c r="B445" i="5"/>
  <c r="A445" i="5"/>
  <c r="B444" i="5"/>
  <c r="A444" i="5"/>
  <c r="B443" i="5"/>
  <c r="A443" i="5"/>
  <c r="B442" i="5"/>
  <c r="A442" i="5"/>
  <c r="B441" i="5"/>
  <c r="A441" i="5"/>
  <c r="B440" i="5"/>
  <c r="A440" i="5"/>
  <c r="B439" i="5"/>
  <c r="A439" i="5"/>
  <c r="B438" i="5"/>
  <c r="A438" i="5"/>
  <c r="B437" i="5"/>
  <c r="A437" i="5"/>
  <c r="B436" i="5"/>
  <c r="A436" i="5"/>
  <c r="B435" i="5"/>
  <c r="A435" i="5"/>
  <c r="B434" i="5"/>
  <c r="A434" i="5"/>
  <c r="B433" i="5"/>
  <c r="A433" i="5"/>
  <c r="B432" i="5"/>
  <c r="A432" i="5"/>
  <c r="B431" i="5"/>
  <c r="A431" i="5"/>
  <c r="B430" i="5"/>
  <c r="A430" i="5"/>
  <c r="B429" i="5"/>
  <c r="A429" i="5"/>
  <c r="B428" i="5"/>
  <c r="A428" i="5"/>
  <c r="B427" i="5"/>
  <c r="A427" i="5"/>
  <c r="B426" i="5"/>
  <c r="A426" i="5"/>
  <c r="B425" i="5"/>
  <c r="A425" i="5"/>
  <c r="B424" i="5"/>
  <c r="A424" i="5"/>
  <c r="B423" i="5"/>
  <c r="A423" i="5"/>
  <c r="B422" i="5"/>
  <c r="A422" i="5"/>
  <c r="B421" i="5"/>
  <c r="A421" i="5"/>
  <c r="B420" i="5"/>
  <c r="A420" i="5"/>
  <c r="B419" i="5"/>
  <c r="A419" i="5"/>
  <c r="B418" i="5"/>
  <c r="A418" i="5"/>
  <c r="B417" i="5"/>
  <c r="A417" i="5"/>
  <c r="B416" i="5"/>
  <c r="A416" i="5"/>
  <c r="B415" i="5"/>
  <c r="A415" i="5"/>
  <c r="B414" i="5"/>
  <c r="A414" i="5"/>
  <c r="B413" i="5"/>
  <c r="A413" i="5"/>
  <c r="B412" i="5"/>
  <c r="A412" i="5"/>
  <c r="B411" i="5"/>
  <c r="A411" i="5"/>
  <c r="B410" i="5"/>
  <c r="A410" i="5"/>
  <c r="B409" i="5"/>
  <c r="A409" i="5"/>
  <c r="B408" i="5"/>
  <c r="A408" i="5"/>
  <c r="B407" i="5"/>
  <c r="A407" i="5"/>
  <c r="B406" i="5"/>
  <c r="A406" i="5"/>
  <c r="B405" i="5"/>
  <c r="A405" i="5"/>
  <c r="B404" i="5"/>
  <c r="A404" i="5"/>
  <c r="B403" i="5"/>
  <c r="A403" i="5"/>
  <c r="B402" i="5"/>
  <c r="A402" i="5"/>
  <c r="B401" i="5"/>
  <c r="A401" i="5"/>
  <c r="B400" i="5"/>
  <c r="A400" i="5"/>
  <c r="B399" i="5"/>
  <c r="A399" i="5"/>
  <c r="B398" i="5"/>
  <c r="A398" i="5"/>
  <c r="B397" i="5"/>
  <c r="A397" i="5"/>
  <c r="B396" i="5"/>
  <c r="A396" i="5"/>
  <c r="B395" i="5"/>
  <c r="A395" i="5"/>
  <c r="B394" i="5"/>
  <c r="A394" i="5"/>
  <c r="B393" i="5"/>
  <c r="A393" i="5"/>
  <c r="B392" i="5"/>
  <c r="A392" i="5"/>
  <c r="B391" i="5"/>
  <c r="A391" i="5"/>
  <c r="B390" i="5"/>
  <c r="A390" i="5"/>
  <c r="B389" i="5"/>
  <c r="A389" i="5"/>
  <c r="B388" i="5"/>
  <c r="A388" i="5"/>
  <c r="B387" i="5"/>
  <c r="A387" i="5"/>
  <c r="B386" i="5"/>
  <c r="A386" i="5"/>
  <c r="B385" i="5"/>
  <c r="A385" i="5"/>
  <c r="B384" i="5"/>
  <c r="A384" i="5"/>
  <c r="B383" i="5"/>
  <c r="A383" i="5"/>
  <c r="B382" i="5"/>
  <c r="A382" i="5"/>
  <c r="B381" i="5"/>
  <c r="A381" i="5"/>
  <c r="B380" i="5"/>
  <c r="A380" i="5"/>
  <c r="B379" i="5"/>
  <c r="A379" i="5"/>
  <c r="B378" i="5"/>
  <c r="A378" i="5"/>
  <c r="B377" i="5"/>
  <c r="A377" i="5"/>
  <c r="B376" i="5"/>
  <c r="A376" i="5"/>
  <c r="B375" i="5"/>
  <c r="A375" i="5"/>
  <c r="B374" i="5"/>
  <c r="A374" i="5"/>
  <c r="B373" i="5"/>
  <c r="A373" i="5"/>
  <c r="B372" i="5"/>
  <c r="A372" i="5"/>
  <c r="B371" i="5"/>
  <c r="A371" i="5"/>
  <c r="B370" i="5"/>
  <c r="A370" i="5"/>
  <c r="B369" i="5"/>
  <c r="A369" i="5"/>
  <c r="B368" i="5"/>
  <c r="A368" i="5"/>
  <c r="B367" i="5"/>
  <c r="A367" i="5"/>
  <c r="B366" i="5"/>
  <c r="A366" i="5"/>
  <c r="B365" i="5"/>
  <c r="A365" i="5"/>
  <c r="B364" i="5"/>
  <c r="A364" i="5"/>
  <c r="B363" i="5"/>
  <c r="A363" i="5"/>
  <c r="B362" i="5"/>
  <c r="A362" i="5"/>
  <c r="B361" i="5"/>
  <c r="A361" i="5"/>
  <c r="B360" i="5"/>
  <c r="A360" i="5"/>
  <c r="B359" i="5"/>
  <c r="A359" i="5"/>
  <c r="B358" i="5"/>
  <c r="A358" i="5"/>
  <c r="B357" i="5"/>
  <c r="A357" i="5"/>
  <c r="B356" i="5"/>
  <c r="A356" i="5"/>
  <c r="B355" i="5"/>
  <c r="A355" i="5"/>
  <c r="B354" i="5"/>
  <c r="A354" i="5"/>
  <c r="B353" i="5"/>
  <c r="A353" i="5"/>
  <c r="B352" i="5"/>
  <c r="A352" i="5"/>
  <c r="B351" i="5"/>
  <c r="A351" i="5"/>
  <c r="B350" i="5"/>
  <c r="A350" i="5"/>
  <c r="B349" i="5"/>
  <c r="A349" i="5"/>
  <c r="B348" i="5"/>
  <c r="A348" i="5"/>
  <c r="B347" i="5"/>
  <c r="A347" i="5"/>
  <c r="B346" i="5"/>
  <c r="A346" i="5"/>
  <c r="B345" i="5"/>
  <c r="A345" i="5"/>
  <c r="B344" i="5"/>
  <c r="A344" i="5"/>
  <c r="B343" i="5"/>
  <c r="A343" i="5"/>
  <c r="B342" i="5"/>
  <c r="A342" i="5"/>
  <c r="B341" i="5"/>
  <c r="A341" i="5"/>
  <c r="B340" i="5"/>
  <c r="A340" i="5"/>
  <c r="B339" i="5"/>
  <c r="A339" i="5"/>
  <c r="B338" i="5"/>
  <c r="A338" i="5"/>
  <c r="B337" i="5"/>
  <c r="A337" i="5"/>
  <c r="B336" i="5"/>
  <c r="A336" i="5"/>
  <c r="B335" i="5"/>
  <c r="A335" i="5"/>
  <c r="B334" i="5"/>
  <c r="A334" i="5"/>
  <c r="B333" i="5"/>
  <c r="A333" i="5"/>
  <c r="B332" i="5"/>
  <c r="A332" i="5"/>
  <c r="B331" i="5"/>
  <c r="A331" i="5"/>
  <c r="B330" i="5"/>
  <c r="A330" i="5"/>
  <c r="B329" i="5"/>
  <c r="A329" i="5"/>
  <c r="B328" i="5"/>
  <c r="A328" i="5"/>
  <c r="B327" i="5"/>
  <c r="A327" i="5"/>
  <c r="B326" i="5"/>
  <c r="A326" i="5"/>
  <c r="B325" i="5"/>
  <c r="A325" i="5"/>
  <c r="B324" i="5"/>
  <c r="A324" i="5"/>
  <c r="B323" i="5"/>
  <c r="A323" i="5"/>
  <c r="B322" i="5"/>
  <c r="A322" i="5"/>
  <c r="B321" i="5"/>
  <c r="A321" i="5"/>
  <c r="B320" i="5"/>
  <c r="A320" i="5"/>
  <c r="B319" i="5"/>
  <c r="A319" i="5"/>
  <c r="B318" i="5"/>
  <c r="A318" i="5"/>
  <c r="B317" i="5"/>
  <c r="A317" i="5"/>
  <c r="B316" i="5"/>
  <c r="A316" i="5"/>
  <c r="B315" i="5"/>
  <c r="A315" i="5"/>
  <c r="B314" i="5"/>
  <c r="A314" i="5"/>
  <c r="B313" i="5"/>
  <c r="A313" i="5"/>
  <c r="B312" i="5"/>
  <c r="A312" i="5"/>
  <c r="B311" i="5"/>
  <c r="A311" i="5"/>
  <c r="B310" i="5"/>
  <c r="A310" i="5"/>
  <c r="B309" i="5"/>
  <c r="A309" i="5"/>
  <c r="B308" i="5"/>
  <c r="A308" i="5"/>
  <c r="B307" i="5"/>
  <c r="A307" i="5"/>
  <c r="B306" i="5"/>
  <c r="A306" i="5"/>
  <c r="B305" i="5"/>
  <c r="A305" i="5"/>
  <c r="B304" i="5"/>
  <c r="A304" i="5"/>
  <c r="B303" i="5"/>
  <c r="A303" i="5"/>
  <c r="B302" i="5"/>
  <c r="A302" i="5"/>
  <c r="B301" i="5"/>
  <c r="A301" i="5"/>
  <c r="B300" i="5"/>
  <c r="A300" i="5"/>
  <c r="B299" i="5"/>
  <c r="A299" i="5"/>
  <c r="B298" i="5"/>
  <c r="A298" i="5"/>
  <c r="B297" i="5"/>
  <c r="A297" i="5"/>
  <c r="B296" i="5"/>
  <c r="A296" i="5"/>
  <c r="B295" i="5"/>
  <c r="A295" i="5"/>
  <c r="B294" i="5"/>
  <c r="A294" i="5"/>
  <c r="B293" i="5"/>
  <c r="A293" i="5"/>
  <c r="B292" i="5"/>
  <c r="A292" i="5"/>
  <c r="B291" i="5"/>
  <c r="A291" i="5"/>
  <c r="B290" i="5"/>
  <c r="A290" i="5"/>
  <c r="B289" i="5"/>
  <c r="A289" i="5"/>
  <c r="B288" i="5"/>
  <c r="A288" i="5"/>
  <c r="B287" i="5"/>
  <c r="A287" i="5"/>
  <c r="B286" i="5"/>
  <c r="A286" i="5"/>
  <c r="B285" i="5"/>
  <c r="A285" i="5"/>
  <c r="B284" i="5"/>
  <c r="A284" i="5"/>
  <c r="B283" i="5"/>
  <c r="A283" i="5"/>
  <c r="B282" i="5"/>
  <c r="A282" i="5"/>
  <c r="B281" i="5"/>
  <c r="A281" i="5"/>
  <c r="B280" i="5"/>
  <c r="A280" i="5"/>
  <c r="B279" i="5"/>
  <c r="A279" i="5"/>
  <c r="B278" i="5"/>
  <c r="A278" i="5"/>
  <c r="B277" i="5"/>
  <c r="A277" i="5"/>
  <c r="B276" i="5"/>
  <c r="A276" i="5"/>
  <c r="B275" i="5"/>
  <c r="A275" i="5"/>
  <c r="B274" i="5"/>
  <c r="A274" i="5"/>
  <c r="B273" i="5"/>
  <c r="A273" i="5"/>
  <c r="B272" i="5"/>
  <c r="A272" i="5"/>
  <c r="B271" i="5"/>
  <c r="A271" i="5"/>
  <c r="B270" i="5"/>
  <c r="A270" i="5"/>
  <c r="B269" i="5"/>
  <c r="A269" i="5"/>
  <c r="B268" i="5"/>
  <c r="A268" i="5"/>
  <c r="B267" i="5"/>
  <c r="A267" i="5"/>
  <c r="B266" i="5"/>
  <c r="A266" i="5"/>
  <c r="B265" i="5"/>
  <c r="A265" i="5"/>
  <c r="B264" i="5"/>
  <c r="A264" i="5"/>
  <c r="B263" i="5"/>
  <c r="A263" i="5"/>
  <c r="B262" i="5"/>
  <c r="A262" i="5"/>
  <c r="B261" i="5"/>
  <c r="A261" i="5"/>
  <c r="B260" i="5"/>
  <c r="A260" i="5"/>
  <c r="B259" i="5"/>
  <c r="A259" i="5"/>
  <c r="B258" i="5"/>
  <c r="A258" i="5"/>
  <c r="B257" i="5"/>
  <c r="A257" i="5"/>
  <c r="B256" i="5"/>
  <c r="A256" i="5"/>
  <c r="B255" i="5"/>
  <c r="A255" i="5"/>
  <c r="B254" i="5"/>
  <c r="A254" i="5"/>
  <c r="B253" i="5"/>
  <c r="A253" i="5"/>
  <c r="B252" i="5"/>
  <c r="A252" i="5"/>
  <c r="B251" i="5"/>
  <c r="A251" i="5"/>
  <c r="B250" i="5"/>
  <c r="A250" i="5"/>
  <c r="B249" i="5"/>
  <c r="A249" i="5"/>
  <c r="B248" i="5"/>
  <c r="A248" i="5"/>
  <c r="B247" i="5"/>
  <c r="A247" i="5"/>
  <c r="B246" i="5"/>
  <c r="A246" i="5"/>
  <c r="B245" i="5"/>
  <c r="A245" i="5"/>
  <c r="B244" i="5"/>
  <c r="A244" i="5"/>
  <c r="B243" i="5"/>
  <c r="A243" i="5"/>
  <c r="B242" i="5"/>
  <c r="A242" i="5"/>
  <c r="B241" i="5"/>
  <c r="A241" i="5"/>
  <c r="B240" i="5"/>
  <c r="A240" i="5"/>
  <c r="B239" i="5"/>
  <c r="A239" i="5"/>
  <c r="B238" i="5"/>
  <c r="A238" i="5"/>
  <c r="B237" i="5"/>
  <c r="A237" i="5"/>
  <c r="B236" i="5"/>
  <c r="A236" i="5"/>
  <c r="B235" i="5"/>
  <c r="A235" i="5"/>
  <c r="B234" i="5"/>
  <c r="A234" i="5"/>
  <c r="B233" i="5"/>
  <c r="A233" i="5"/>
  <c r="B232" i="5"/>
  <c r="A232" i="5"/>
  <c r="B231" i="5"/>
  <c r="A231" i="5"/>
  <c r="B230" i="5"/>
  <c r="A230" i="5"/>
  <c r="B229" i="5"/>
  <c r="A229" i="5"/>
  <c r="B228" i="5"/>
  <c r="A228" i="5"/>
  <c r="B227" i="5"/>
  <c r="A227" i="5"/>
  <c r="B226" i="5"/>
  <c r="A226" i="5"/>
  <c r="B225" i="5"/>
  <c r="A225" i="5"/>
  <c r="B224" i="5"/>
  <c r="A224" i="5"/>
  <c r="B223" i="5"/>
  <c r="A223" i="5"/>
  <c r="B222" i="5"/>
  <c r="A222" i="5"/>
  <c r="B221" i="5"/>
  <c r="A221" i="5"/>
  <c r="B220" i="5"/>
  <c r="A220" i="5"/>
  <c r="B219" i="5"/>
  <c r="A219" i="5"/>
  <c r="B218" i="5"/>
  <c r="A218" i="5"/>
  <c r="B217" i="5"/>
  <c r="A217" i="5"/>
  <c r="B216" i="5"/>
  <c r="A216" i="5"/>
  <c r="B215" i="5"/>
  <c r="A215" i="5"/>
  <c r="B214" i="5"/>
  <c r="A214" i="5"/>
  <c r="B213" i="5"/>
  <c r="A213" i="5"/>
  <c r="B212" i="5"/>
  <c r="A212" i="5"/>
  <c r="B211" i="5"/>
  <c r="A211" i="5"/>
  <c r="B210" i="5"/>
  <c r="A210" i="5"/>
  <c r="B209" i="5"/>
  <c r="A209" i="5"/>
  <c r="B208" i="5"/>
  <c r="A208" i="5"/>
  <c r="B207" i="5"/>
  <c r="A207" i="5"/>
  <c r="B206" i="5"/>
  <c r="A206" i="5"/>
  <c r="B205" i="5"/>
  <c r="A205" i="5"/>
  <c r="B204" i="5"/>
  <c r="A204" i="5"/>
  <c r="B203" i="5"/>
  <c r="A203" i="5"/>
  <c r="B202" i="5"/>
  <c r="A202" i="5"/>
  <c r="B201" i="5"/>
  <c r="A201" i="5"/>
  <c r="B200" i="5"/>
  <c r="A200" i="5"/>
  <c r="B199" i="5"/>
  <c r="A199" i="5"/>
  <c r="B198" i="5"/>
  <c r="A198" i="5"/>
  <c r="B197" i="5"/>
  <c r="A197" i="5"/>
  <c r="B196" i="5"/>
  <c r="A196" i="5"/>
  <c r="B195" i="5"/>
  <c r="A195" i="5"/>
  <c r="B194" i="5"/>
  <c r="A194" i="5"/>
  <c r="B193" i="5"/>
  <c r="A193" i="5"/>
  <c r="B192" i="5"/>
  <c r="A192" i="5"/>
  <c r="B191" i="5"/>
  <c r="A191" i="5"/>
  <c r="B190" i="5"/>
  <c r="A190" i="5"/>
  <c r="B189" i="5"/>
  <c r="A189" i="5"/>
  <c r="B188" i="5"/>
  <c r="A188" i="5"/>
  <c r="B187" i="5"/>
  <c r="A187" i="5"/>
  <c r="B186" i="5"/>
  <c r="A186" i="5"/>
  <c r="B185" i="5"/>
  <c r="A185" i="5"/>
  <c r="B184" i="5"/>
  <c r="A184" i="5"/>
  <c r="B183" i="5"/>
  <c r="A183" i="5"/>
  <c r="B182" i="5"/>
  <c r="A182" i="5"/>
  <c r="B181" i="5"/>
  <c r="A181" i="5"/>
  <c r="B180" i="5"/>
  <c r="A180" i="5"/>
  <c r="B179" i="5"/>
  <c r="A179" i="5"/>
  <c r="B178" i="5"/>
  <c r="A178" i="5"/>
  <c r="B177" i="5"/>
  <c r="A177" i="5"/>
  <c r="B176" i="5"/>
  <c r="A176" i="5"/>
  <c r="B175" i="5"/>
  <c r="A175" i="5"/>
  <c r="B174" i="5"/>
  <c r="A174" i="5"/>
  <c r="B173" i="5"/>
  <c r="A173" i="5"/>
  <c r="B172" i="5"/>
  <c r="A172" i="5"/>
  <c r="B171" i="5"/>
  <c r="A171" i="5"/>
  <c r="B170" i="5"/>
  <c r="A170" i="5"/>
  <c r="B169" i="5"/>
  <c r="A169" i="5"/>
  <c r="B168" i="5"/>
  <c r="A168" i="5"/>
  <c r="B167" i="5"/>
  <c r="A167" i="5"/>
  <c r="B166" i="5"/>
  <c r="A166" i="5"/>
  <c r="B165" i="5"/>
  <c r="A165" i="5"/>
  <c r="B164" i="5"/>
  <c r="A164" i="5"/>
  <c r="B163" i="5"/>
  <c r="A163" i="5"/>
  <c r="B162" i="5"/>
  <c r="A162" i="5"/>
  <c r="B161" i="5"/>
  <c r="A161" i="5"/>
  <c r="B160" i="5"/>
  <c r="A160" i="5"/>
  <c r="B159" i="5"/>
  <c r="A159" i="5"/>
  <c r="B158" i="5"/>
  <c r="A158" i="5"/>
  <c r="B157" i="5"/>
  <c r="A157" i="5"/>
  <c r="B156" i="5"/>
  <c r="A156" i="5"/>
  <c r="B155" i="5"/>
  <c r="A155" i="5"/>
  <c r="B154" i="5"/>
  <c r="A154" i="5"/>
  <c r="B153" i="5"/>
  <c r="A153" i="5"/>
  <c r="B152" i="5"/>
  <c r="A152" i="5"/>
  <c r="B151" i="5"/>
  <c r="A151" i="5"/>
  <c r="B150" i="5"/>
  <c r="A150" i="5"/>
  <c r="B149" i="5"/>
  <c r="A149" i="5"/>
  <c r="B148" i="5"/>
  <c r="A148" i="5"/>
  <c r="B147" i="5"/>
  <c r="A147" i="5"/>
  <c r="B146" i="5"/>
  <c r="A146" i="5"/>
  <c r="B145" i="5"/>
  <c r="A145" i="5"/>
  <c r="B144" i="5"/>
  <c r="A144" i="5"/>
  <c r="B143" i="5"/>
  <c r="A143" i="5"/>
  <c r="B142" i="5"/>
  <c r="A142" i="5"/>
  <c r="B141" i="5"/>
  <c r="A141" i="5"/>
  <c r="B140" i="5"/>
  <c r="A140" i="5"/>
  <c r="B139" i="5"/>
  <c r="A139" i="5"/>
  <c r="B138" i="5"/>
  <c r="A138" i="5"/>
  <c r="B137" i="5"/>
  <c r="A137" i="5"/>
  <c r="B136" i="5"/>
  <c r="A136" i="5"/>
  <c r="B135" i="5"/>
  <c r="A135" i="5"/>
  <c r="B134" i="5"/>
  <c r="A134" i="5"/>
  <c r="B133" i="5"/>
  <c r="A133" i="5"/>
  <c r="B132" i="5"/>
  <c r="A132" i="5"/>
  <c r="B131" i="5"/>
  <c r="A131" i="5"/>
  <c r="B130" i="5"/>
  <c r="A130" i="5"/>
  <c r="B129" i="5"/>
  <c r="A129" i="5"/>
  <c r="B128" i="5"/>
  <c r="A128" i="5"/>
  <c r="B127" i="5"/>
  <c r="A127" i="5"/>
  <c r="B126" i="5"/>
  <c r="A126" i="5"/>
  <c r="B125" i="5"/>
  <c r="A125" i="5"/>
  <c r="B124" i="5"/>
  <c r="A124" i="5"/>
  <c r="B123" i="5"/>
  <c r="A123" i="5"/>
  <c r="B122" i="5"/>
  <c r="A122" i="5"/>
  <c r="B121" i="5"/>
  <c r="A121" i="5"/>
  <c r="B120" i="5"/>
  <c r="A120" i="5"/>
  <c r="B119" i="5"/>
  <c r="A119" i="5"/>
  <c r="B118" i="5"/>
  <c r="A118" i="5"/>
  <c r="B117" i="5"/>
  <c r="A117" i="5"/>
  <c r="B116" i="5"/>
  <c r="A116" i="5"/>
  <c r="B115" i="5"/>
  <c r="A115" i="5"/>
  <c r="B114" i="5"/>
  <c r="A114" i="5"/>
  <c r="B113" i="5"/>
  <c r="A113" i="5"/>
  <c r="B112" i="5"/>
  <c r="A112" i="5"/>
  <c r="B111" i="5"/>
  <c r="A111" i="5"/>
  <c r="B110" i="5"/>
  <c r="A110" i="5"/>
  <c r="B109" i="5"/>
  <c r="A109" i="5"/>
  <c r="B108" i="5"/>
  <c r="A108" i="5"/>
  <c r="B107" i="5"/>
  <c r="A107" i="5"/>
  <c r="B106" i="5"/>
  <c r="A106" i="5"/>
  <c r="B105" i="5"/>
  <c r="A105" i="5"/>
  <c r="B104" i="5"/>
  <c r="A104" i="5"/>
  <c r="B103" i="5"/>
  <c r="A103" i="5"/>
  <c r="B102" i="5"/>
  <c r="A102" i="5"/>
  <c r="B101" i="5"/>
  <c r="A101" i="5"/>
  <c r="B100" i="5"/>
  <c r="A100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88" i="5"/>
  <c r="A88" i="5"/>
  <c r="B87" i="5"/>
  <c r="A87" i="5"/>
  <c r="B86" i="5"/>
  <c r="A86" i="5"/>
  <c r="B85" i="5"/>
  <c r="A85" i="5"/>
  <c r="B84" i="5"/>
  <c r="A84" i="5"/>
  <c r="B83" i="5"/>
  <c r="A83" i="5"/>
  <c r="B82" i="5"/>
  <c r="A82" i="5"/>
  <c r="B81" i="5"/>
  <c r="A81" i="5"/>
  <c r="B80" i="5"/>
  <c r="A80" i="5"/>
  <c r="B79" i="5"/>
  <c r="A79" i="5"/>
  <c r="B78" i="5"/>
  <c r="A78" i="5"/>
  <c r="B77" i="5"/>
  <c r="A77" i="5"/>
  <c r="B76" i="5"/>
  <c r="A76" i="5"/>
  <c r="B75" i="5"/>
  <c r="A75" i="5"/>
  <c r="B74" i="5"/>
  <c r="A74" i="5"/>
  <c r="B73" i="5"/>
  <c r="A73" i="5"/>
  <c r="B72" i="5"/>
  <c r="A72" i="5"/>
  <c r="B71" i="5"/>
  <c r="A71" i="5"/>
  <c r="B70" i="5"/>
  <c r="A70" i="5"/>
  <c r="B69" i="5"/>
  <c r="A69" i="5"/>
  <c r="B68" i="5"/>
  <c r="A68" i="5"/>
  <c r="B67" i="5"/>
  <c r="A67" i="5"/>
  <c r="B66" i="5"/>
  <c r="A66" i="5"/>
  <c r="B65" i="5"/>
  <c r="A65" i="5"/>
  <c r="B64" i="5"/>
  <c r="A64" i="5"/>
  <c r="B63" i="5"/>
  <c r="A63" i="5"/>
  <c r="B62" i="5"/>
  <c r="A62" i="5"/>
  <c r="B61" i="5"/>
  <c r="A61" i="5"/>
  <c r="B60" i="5"/>
  <c r="A60" i="5"/>
  <c r="B59" i="5"/>
  <c r="A59" i="5"/>
  <c r="B58" i="5"/>
  <c r="A58" i="5"/>
  <c r="B57" i="5"/>
  <c r="A57" i="5"/>
  <c r="B56" i="5"/>
  <c r="A56" i="5"/>
  <c r="B55" i="5"/>
  <c r="A55" i="5"/>
  <c r="B54" i="5"/>
  <c r="A54" i="5"/>
  <c r="B53" i="5"/>
  <c r="A53" i="5"/>
  <c r="B52" i="5"/>
  <c r="A52" i="5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B6" i="5"/>
  <c r="A6" i="5"/>
  <c r="B5" i="5"/>
  <c r="A5" i="5"/>
  <c r="B4" i="5"/>
  <c r="A4" i="5"/>
  <c r="B3" i="5"/>
  <c r="A3" i="5"/>
  <c r="B2" i="5"/>
  <c r="A2" i="5"/>
</calcChain>
</file>

<file path=xl/sharedStrings.xml><?xml version="1.0" encoding="utf-8"?>
<sst xmlns="http://schemas.openxmlformats.org/spreadsheetml/2006/main" count="7536" uniqueCount="81">
  <si>
    <t>GIR</t>
  </si>
  <si>
    <t>Heure d'entrée</t>
  </si>
  <si>
    <t>Nombre de personnes</t>
  </si>
  <si>
    <t>Acte n°1</t>
  </si>
  <si>
    <t>Acte n°2</t>
  </si>
  <si>
    <t>Acte n°3</t>
  </si>
  <si>
    <t>Acte n°4</t>
  </si>
  <si>
    <t>Acte n°5</t>
  </si>
  <si>
    <t>Acte n°6</t>
  </si>
  <si>
    <t>Acte n°7</t>
  </si>
  <si>
    <t>Acte n°8</t>
  </si>
  <si>
    <t>Acte n°9</t>
  </si>
  <si>
    <t>N° résident</t>
  </si>
  <si>
    <t>acte</t>
  </si>
  <si>
    <t>Acte n°10</t>
  </si>
  <si>
    <t>Date de l'enquête :</t>
  </si>
  <si>
    <t xml:space="preserve">Région : </t>
  </si>
  <si>
    <t>Numéro Finess :</t>
  </si>
  <si>
    <t>Statut de l'établissement :</t>
  </si>
  <si>
    <t>Guyane</t>
  </si>
  <si>
    <t>Auvergne-Rhône-Alpes</t>
  </si>
  <si>
    <t>Réunion</t>
  </si>
  <si>
    <t>Normandie</t>
  </si>
  <si>
    <t>Martinique</t>
  </si>
  <si>
    <t>Hauts-de-France</t>
  </si>
  <si>
    <t>Centre-Val de Loire</t>
  </si>
  <si>
    <t>Pays de la Loire</t>
  </si>
  <si>
    <t>Occitanie</t>
  </si>
  <si>
    <t>Nouvelle-Aquitaine</t>
  </si>
  <si>
    <t>Guadeloupe</t>
  </si>
  <si>
    <t>Bretagne</t>
  </si>
  <si>
    <t>Provence-Alpes-Côte d'Azur</t>
  </si>
  <si>
    <t>Île-de-France</t>
  </si>
  <si>
    <t>Corse</t>
  </si>
  <si>
    <t>Mayotte</t>
  </si>
  <si>
    <t>Grand Est</t>
  </si>
  <si>
    <t>public rattaché à un ES</t>
  </si>
  <si>
    <t xml:space="preserve">Nombre de places conventionnelles : </t>
  </si>
  <si>
    <t>Nombre de places conventionnelles en Unité de Vie Protégée :</t>
  </si>
  <si>
    <t>Nombre de résidents présents le jour de l'enquête :</t>
  </si>
  <si>
    <t>Nombre de résidents en unités conventionnelles :</t>
  </si>
  <si>
    <t>GIR moyen pondéré :</t>
  </si>
  <si>
    <t>Moyenne d'âge des résidents :</t>
  </si>
  <si>
    <t>Nombre de places :</t>
  </si>
  <si>
    <t>Coupe Pathos non officielle réalisée dans la période de l'enquête :</t>
  </si>
  <si>
    <t>Fiche descriptive de l'établissement</t>
  </si>
  <si>
    <t>Relevé des soins réalisé sur 24 H par résident</t>
  </si>
  <si>
    <t>Relevé du nombre de visiteurs par résident</t>
  </si>
  <si>
    <t>Visite</t>
  </si>
  <si>
    <t>Nombre de visiteurs</t>
  </si>
  <si>
    <t xml:space="preserve">Nom de l'établissement : </t>
  </si>
  <si>
    <t>Bourgogne-Franche-Comté</t>
  </si>
  <si>
    <t>finess</t>
  </si>
  <si>
    <t>nom</t>
  </si>
  <si>
    <t>public autonome</t>
  </si>
  <si>
    <t>statut</t>
  </si>
  <si>
    <t>région</t>
  </si>
  <si>
    <t>privé commercial</t>
  </si>
  <si>
    <t>privé non lucratif (associatif,…)</t>
  </si>
  <si>
    <t>Collectivités d'Outre-Mer</t>
  </si>
  <si>
    <t>region</t>
  </si>
  <si>
    <t>AUVERGNE-RHONE-ALPES</t>
  </si>
  <si>
    <t>GRAND EST</t>
  </si>
  <si>
    <t>CENTRE VAL DE LOIRE</t>
  </si>
  <si>
    <t>BOURGOGNE-FRANCHE COMTE</t>
  </si>
  <si>
    <t>BRETAGNE</t>
  </si>
  <si>
    <t>CORSE</t>
  </si>
  <si>
    <t>COLLECTIVITES OUTRE MER</t>
  </si>
  <si>
    <t>HAUTS DE FRANCE</t>
  </si>
  <si>
    <t>NORMANDIE</t>
  </si>
  <si>
    <t>NOUVELLE AQUITAINE</t>
  </si>
  <si>
    <t>ILE DE FRANCE</t>
  </si>
  <si>
    <t>GUADELOUPE</t>
  </si>
  <si>
    <t>MARTINIQUE</t>
  </si>
  <si>
    <t>GUYANE</t>
  </si>
  <si>
    <t>LA REUNION</t>
  </si>
  <si>
    <t>PROVENCE-ALPES-COTE D AZUR</t>
  </si>
  <si>
    <t>OCCITANIE</t>
  </si>
  <si>
    <t>PAYS DE LA LOIRE</t>
  </si>
  <si>
    <t>Commentaires</t>
  </si>
  <si>
    <t>Heure
 de sortie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</si>
</sst>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8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0" xfId="0" applyFill="1"/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2" fillId="3" borderId="0" xfId="0" applyFont="1" applyFill="1" applyBorder="1" applyAlignment="1">
      <alignment horizontal="left"/>
    </xf>
    <xf numFmtId="0" fontId="7" fillId="3" borderId="1" xfId="0" applyFont="1" applyFill="1" applyBorder="1" applyAlignment="1" applyProtection="1">
      <alignment horizontal="left"/>
      <protection hidden="1"/>
    </xf>
    <xf numFmtId="0" fontId="0" fillId="0" borderId="1" xfId="0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3" borderId="1" xfId="0" applyNumberFormat="1" applyFill="1" applyBorder="1" applyAlignment="1" applyProtection="1">
      <alignment horizontal="left"/>
      <protection locked="0"/>
    </xf>
    <xf numFmtId="0" fontId="6" fillId="3" borderId="0" xfId="0" applyFont="1" applyFill="1" applyAlignment="1"/>
    <xf numFmtId="0" fontId="5" fillId="3" borderId="0" xfId="0" applyFont="1" applyFill="1"/>
    <xf numFmtId="0" fontId="5" fillId="3" borderId="0" xfId="0" applyFont="1" applyFill="1" applyBorder="1"/>
    <xf numFmtId="0" fontId="0" fillId="3" borderId="0" xfId="0" applyFill="1" applyBorder="1"/>
    <xf numFmtId="0" fontId="0" fillId="3" borderId="1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2171699</xdr:colOff>
      <xdr:row>0</xdr:row>
      <xdr:rowOff>47625</xdr:rowOff>
    </xdr:from>
    <xdr:to>
      <xdr:col>1</xdr:col>
      <xdr:colOff>3829050</xdr:colOff>
      <xdr:row>2</xdr:row>
      <xdr:rowOff>97845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4" y="47625"/>
          <a:ext cx="1657351" cy="535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600075</xdr:colOff>
      <xdr:row>0</xdr:row>
      <xdr:rowOff>85725</xdr:rowOff>
    </xdr:from>
    <xdr:to>
      <xdr:col>15</xdr:col>
      <xdr:colOff>1638301</xdr:colOff>
      <xdr:row>2</xdr:row>
      <xdr:rowOff>88320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0575" y="85725"/>
          <a:ext cx="1657351" cy="5359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1514475</xdr:colOff>
      <xdr:row>0</xdr:row>
      <xdr:rowOff>76200</xdr:rowOff>
    </xdr:from>
    <xdr:to>
      <xdr:col>4</xdr:col>
      <xdr:colOff>133351</xdr:colOff>
      <xdr:row>2</xdr:row>
      <xdr:rowOff>154995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76200"/>
          <a:ext cx="1657351" cy="535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33"/>
  <sheetViews>
    <sheetView tabSelected="1" workbookViewId="0">
      <selection sqref="A1:B1"/>
    </sheetView>
  </sheetViews>
  <sheetFormatPr baseColWidth="10" defaultRowHeight="15" x14ac:dyDescent="0.25"/>
  <cols>
    <col min="1" max="1" width="62.42578125" style="3" customWidth="1"/>
    <col min="2" max="2" width="58.5703125" style="6" customWidth="1"/>
    <col min="3" max="8" width="11.42578125" style="3"/>
    <col min="9" max="9" width="12.42578125" style="25" customWidth="1"/>
    <col min="10" max="15" width="11.42578125" style="25"/>
    <col min="16" max="16384" width="11.42578125" style="3"/>
  </cols>
  <sheetData>
    <row r="1" spans="1:9" ht="23.25" x14ac:dyDescent="0.35">
      <c r="A1" s="35" t="s">
        <v>45</v>
      </c>
      <c r="B1" s="35"/>
      <c r="C1" s="24"/>
      <c r="D1" s="24"/>
      <c r="E1" s="24"/>
    </row>
    <row r="5" spans="1:9" x14ac:dyDescent="0.25">
      <c r="A5" s="5" t="s">
        <v>15</v>
      </c>
      <c r="B5" s="23"/>
    </row>
    <row r="6" spans="1:9" x14ac:dyDescent="0.25">
      <c r="A6" s="6"/>
    </row>
    <row r="7" spans="1:9" x14ac:dyDescent="0.25">
      <c r="A7" s="5" t="s">
        <v>16</v>
      </c>
      <c r="B7" s="28"/>
      <c r="I7" s="26"/>
    </row>
    <row r="8" spans="1:9" x14ac:dyDescent="0.25">
      <c r="A8" s="16"/>
      <c r="B8" s="29"/>
      <c r="C8" s="27"/>
      <c r="I8" s="26"/>
    </row>
    <row r="9" spans="1:9" x14ac:dyDescent="0.25">
      <c r="A9" s="5" t="s">
        <v>17</v>
      </c>
      <c r="B9" s="30"/>
    </row>
    <row r="10" spans="1:9" x14ac:dyDescent="0.25">
      <c r="A10" s="5"/>
    </row>
    <row r="11" spans="1:9" x14ac:dyDescent="0.25">
      <c r="A11" s="5" t="s">
        <v>50</v>
      </c>
      <c r="B11" s="17" t="str">
        <f>IF(B9="","",VLOOKUP(B9,'liste ehpad'!A:B,2,FALSE))</f>
        <v/>
      </c>
      <c r="I11" s="26"/>
    </row>
    <row r="12" spans="1:9" x14ac:dyDescent="0.25">
      <c r="A12" s="5"/>
      <c r="B12" s="10"/>
      <c r="I12" s="26"/>
    </row>
    <row r="13" spans="1:9" x14ac:dyDescent="0.25">
      <c r="A13" s="5" t="s">
        <v>18</v>
      </c>
      <c r="B13" s="30"/>
      <c r="I13" s="26"/>
    </row>
    <row r="14" spans="1:9" x14ac:dyDescent="0.25">
      <c r="A14" s="5"/>
      <c r="B14" s="10"/>
      <c r="I14" s="26"/>
    </row>
    <row r="15" spans="1:9" x14ac:dyDescent="0.25">
      <c r="A15" s="5"/>
      <c r="I15" s="26"/>
    </row>
    <row r="16" spans="1:9" x14ac:dyDescent="0.25">
      <c r="A16" s="5" t="s">
        <v>43</v>
      </c>
      <c r="B16" s="30"/>
      <c r="I16" s="26"/>
    </row>
    <row r="17" spans="1:9" x14ac:dyDescent="0.25">
      <c r="A17" s="5"/>
      <c r="I17" s="26"/>
    </row>
    <row r="18" spans="1:9" x14ac:dyDescent="0.25">
      <c r="A18" s="5" t="s">
        <v>37</v>
      </c>
      <c r="B18" s="30"/>
      <c r="I18" s="26"/>
    </row>
    <row r="19" spans="1:9" x14ac:dyDescent="0.25">
      <c r="A19" s="5"/>
      <c r="I19" s="26"/>
    </row>
    <row r="20" spans="1:9" x14ac:dyDescent="0.25">
      <c r="A20" s="5" t="s">
        <v>38</v>
      </c>
      <c r="B20" s="30"/>
      <c r="I20" s="26"/>
    </row>
    <row r="21" spans="1:9" x14ac:dyDescent="0.25">
      <c r="A21" s="5"/>
      <c r="B21" s="10"/>
      <c r="I21" s="26"/>
    </row>
    <row r="22" spans="1:9" x14ac:dyDescent="0.25">
      <c r="A22" s="5"/>
      <c r="I22" s="26"/>
    </row>
    <row r="23" spans="1:9" x14ac:dyDescent="0.25">
      <c r="A23" s="5" t="s">
        <v>39</v>
      </c>
      <c r="B23" s="30"/>
      <c r="I23" s="26"/>
    </row>
    <row r="24" spans="1:9" x14ac:dyDescent="0.25">
      <c r="A24" s="5"/>
      <c r="I24" s="26"/>
    </row>
    <row r="25" spans="1:9" x14ac:dyDescent="0.25">
      <c r="A25" s="5" t="s">
        <v>40</v>
      </c>
      <c r="B25" s="30"/>
    </row>
    <row r="26" spans="1:9" x14ac:dyDescent="0.25">
      <c r="A26" s="5"/>
    </row>
    <row r="27" spans="1:9" x14ac:dyDescent="0.25">
      <c r="A27" s="5" t="s">
        <v>42</v>
      </c>
      <c r="B27" s="30"/>
    </row>
    <row r="28" spans="1:9" x14ac:dyDescent="0.25">
      <c r="A28" s="5"/>
      <c r="B28" s="10"/>
    </row>
    <row r="29" spans="1:9" x14ac:dyDescent="0.25">
      <c r="A29" s="5"/>
    </row>
    <row r="30" spans="1:9" x14ac:dyDescent="0.25">
      <c r="A30" s="5" t="s">
        <v>41</v>
      </c>
      <c r="B30" s="30"/>
    </row>
    <row r="31" spans="1:9" x14ac:dyDescent="0.25">
      <c r="A31" s="5"/>
    </row>
    <row r="32" spans="1:9" x14ac:dyDescent="0.25">
      <c r="A32" s="5" t="s">
        <v>44</v>
      </c>
      <c r="B32" s="30"/>
    </row>
    <row r="33" spans="1:1" x14ac:dyDescent="0.25">
      <c r="A33" s="6"/>
    </row>
  </sheetData>
  <sortState ref="I4:I21">
    <sortCondition ref="I4:I21"/>
  </sortState>
  <mergeCells count="1">
    <mergeCell ref="A1:B1"/>
  </mergeCells>
  <dataValidations count="6">
    <dataValidation type="date" operator="greaterThan" allowBlank="1" showInputMessage="1" showErrorMessage="1" error="Veuillez saisir une date au format JJ/MM/AAAA" sqref="B5">
      <formula1>44805</formula1>
    </dataValidation>
    <dataValidation type="list" allowBlank="1" showInputMessage="1" showErrorMessage="1" sqref="B14">
      <formula1>$J$7:$J$10</formula1>
    </dataValidation>
    <dataValidation type="whole" operator="greaterThanOrEqual" allowBlank="1" showInputMessage="1" showErrorMessage="1" sqref="B16 B23">
      <formula1>1</formula1>
    </dataValidation>
    <dataValidation type="whole" operator="lessThanOrEqual" allowBlank="1" showInputMessage="1" showErrorMessage="1" error="Le nombre de résidents en unités conventionnelles doit être inférieur au nombre de résidents présents." sqref="B25">
      <formula1>B23</formula1>
    </dataValidation>
    <dataValidation type="whole" operator="lessThanOrEqual" allowBlank="1" showInputMessage="1" showErrorMessage="1" error="Le nombre de places conventionnelles en Unité de Vie Protégée doit être inférieur au nombre de places conventionnelles." sqref="B20">
      <formula1>B18</formula1>
    </dataValidation>
    <dataValidation type="whole" operator="lessThanOrEqual" allowBlank="1" showInputMessage="1" showErrorMessage="1" error="Le nombre de places conventionnelles doit être inférieur ou égal au nombre de places." sqref="B18">
      <formula1>B16</formula1>
    </dataValidation>
  </dataValidation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codage!$C$2:$C$5</xm:f>
          </x14:formula1>
          <xm:sqref>B13</xm:sqref>
        </x14:dataValidation>
        <x14:dataValidation type="list" allowBlank="1" showInputMessage="1" showErrorMessage="1">
          <x14:formula1>
            <xm:f>codage!$A$2:$A$20</xm:f>
          </x14:formula1>
          <xm:sqref>B7</xm:sqref>
        </x14:dataValidation>
        <x14:dataValidation type="list" allowBlank="1" showInputMessage="1" showErrorMessage="1">
          <x14:formula1>
            <xm:f>'liste ehpad'!$A$2:$A$7472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Z300"/>
  <sheetViews>
    <sheetView workbookViewId="0">
      <pane ySplit="5" topLeftCell="A21" activePane="bottomLeft" state="frozen"/>
      <selection pane="bottomLeft" sqref="A1:P1"/>
    </sheetView>
  </sheetViews>
  <sheetFormatPr baseColWidth="10" defaultRowHeight="15" x14ac:dyDescent="0.25"/>
  <cols>
    <col min="1" max="1" width="9.42578125" style="22" customWidth="1"/>
    <col min="2" max="2" width="4.140625" style="22" bestFit="1" customWidth="1"/>
    <col min="3" max="3" width="8.7109375" style="22" bestFit="1" customWidth="1"/>
    <col min="4" max="4" width="11" style="22" bestFit="1" customWidth="1"/>
    <col min="5" max="13" width="8.28515625" style="22" bestFit="1" customWidth="1"/>
    <col min="14" max="15" width="9.28515625" style="22" bestFit="1" customWidth="1"/>
    <col min="16" max="16" width="28.28515625" style="11" customWidth="1"/>
    <col min="17" max="17" width="11.42578125" style="3"/>
    <col min="18" max="26" width="11.42578125" style="25"/>
  </cols>
  <sheetData>
    <row r="1" spans="1:26" ht="27" customHeight="1" x14ac:dyDescent="0.25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26" x14ac:dyDescent="0.25">
      <c r="A2" s="19"/>
      <c r="B2" s="20"/>
      <c r="C2" s="20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3"/>
    </row>
    <row r="3" spans="1:26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3"/>
    </row>
    <row r="4" spans="1:26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"/>
    </row>
    <row r="5" spans="1:26" ht="30" x14ac:dyDescent="0.25">
      <c r="A5" s="1" t="s">
        <v>12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14</v>
      </c>
      <c r="O5" s="1" t="s">
        <v>80</v>
      </c>
      <c r="P5" s="1" t="s">
        <v>79</v>
      </c>
    </row>
    <row r="6" spans="1:26" s="3" customFormat="1" x14ac:dyDescent="0.25">
      <c r="A6" s="31"/>
      <c r="B6" s="31"/>
      <c r="C6" s="32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8"/>
      <c r="R6" s="25"/>
      <c r="S6" s="25"/>
      <c r="T6" s="25"/>
      <c r="U6" s="25"/>
      <c r="V6" s="25"/>
      <c r="W6" s="25"/>
      <c r="X6" s="25"/>
      <c r="Y6" s="25"/>
      <c r="Z6" s="25"/>
    </row>
    <row r="7" spans="1:26" s="3" customFormat="1" x14ac:dyDescent="0.25">
      <c r="A7" s="31"/>
      <c r="B7" s="31"/>
      <c r="C7" s="32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8"/>
      <c r="R7" s="25"/>
      <c r="S7" s="25"/>
      <c r="T7" s="25"/>
      <c r="U7" s="25"/>
      <c r="V7" s="25"/>
      <c r="W7" s="25"/>
      <c r="X7" s="25"/>
      <c r="Y7" s="25"/>
      <c r="Z7" s="25"/>
    </row>
    <row r="8" spans="1:26" s="3" customFormat="1" x14ac:dyDescent="0.25">
      <c r="A8" s="31"/>
      <c r="B8" s="31"/>
      <c r="C8" s="32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8"/>
      <c r="R8" s="25"/>
      <c r="S8" s="25"/>
      <c r="T8" s="25"/>
      <c r="U8" s="25"/>
      <c r="V8" s="25"/>
      <c r="W8" s="25"/>
      <c r="X8" s="25"/>
      <c r="Y8" s="25"/>
      <c r="Z8" s="25"/>
    </row>
    <row r="9" spans="1:26" s="3" customFormat="1" x14ac:dyDescent="0.25">
      <c r="A9" s="31"/>
      <c r="B9" s="31"/>
      <c r="C9" s="32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8"/>
      <c r="R9" s="25"/>
      <c r="S9" s="25"/>
      <c r="T9" s="25"/>
      <c r="U9" s="25"/>
      <c r="V9" s="25"/>
      <c r="W9" s="25"/>
      <c r="X9" s="25"/>
      <c r="Y9" s="25"/>
      <c r="Z9" s="25"/>
    </row>
    <row r="10" spans="1:26" s="3" customFormat="1" x14ac:dyDescent="0.25">
      <c r="A10" s="31"/>
      <c r="B10" s="31"/>
      <c r="C10" s="3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8"/>
      <c r="R10" s="25"/>
      <c r="S10" s="25"/>
      <c r="T10" s="25"/>
      <c r="U10" s="25"/>
      <c r="V10" s="25"/>
      <c r="W10" s="25"/>
      <c r="X10" s="25"/>
      <c r="Y10" s="25"/>
      <c r="Z10" s="25"/>
    </row>
    <row r="11" spans="1:26" s="3" customFormat="1" x14ac:dyDescent="0.25">
      <c r="A11" s="31"/>
      <c r="B11" s="31"/>
      <c r="C11" s="32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8"/>
      <c r="R11" s="25"/>
      <c r="S11" s="25"/>
      <c r="T11" s="25"/>
      <c r="U11" s="25"/>
      <c r="V11" s="25"/>
      <c r="W11" s="25"/>
      <c r="X11" s="25"/>
      <c r="Y11" s="25"/>
      <c r="Z11" s="25"/>
    </row>
    <row r="12" spans="1:26" s="3" customFormat="1" x14ac:dyDescent="0.25">
      <c r="A12" s="31"/>
      <c r="B12" s="31"/>
      <c r="C12" s="32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8"/>
      <c r="R12" s="25"/>
      <c r="S12" s="25"/>
      <c r="T12" s="25"/>
      <c r="U12" s="25"/>
      <c r="V12" s="25"/>
      <c r="W12" s="25"/>
      <c r="X12" s="25"/>
      <c r="Y12" s="25"/>
      <c r="Z12" s="25"/>
    </row>
    <row r="13" spans="1:26" s="3" customFormat="1" x14ac:dyDescent="0.25">
      <c r="A13" s="31"/>
      <c r="B13" s="31"/>
      <c r="C13" s="32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8"/>
      <c r="R13" s="25"/>
      <c r="S13" s="25"/>
      <c r="T13" s="25"/>
      <c r="U13" s="25"/>
      <c r="V13" s="25"/>
      <c r="W13" s="25"/>
      <c r="X13" s="25"/>
      <c r="Y13" s="25"/>
      <c r="Z13" s="25"/>
    </row>
    <row r="14" spans="1:26" s="3" customFormat="1" x14ac:dyDescent="0.25">
      <c r="A14" s="31"/>
      <c r="B14" s="31"/>
      <c r="C14" s="32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8"/>
      <c r="R14" s="25"/>
      <c r="S14" s="25"/>
      <c r="T14" s="25"/>
      <c r="U14" s="25"/>
      <c r="V14" s="25"/>
      <c r="W14" s="25"/>
      <c r="X14" s="25"/>
      <c r="Y14" s="25"/>
      <c r="Z14" s="25"/>
    </row>
    <row r="15" spans="1:26" s="3" customFormat="1" x14ac:dyDescent="0.25">
      <c r="A15" s="31"/>
      <c r="B15" s="31"/>
      <c r="C15" s="32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8"/>
      <c r="R15" s="25"/>
      <c r="S15" s="25"/>
      <c r="T15" s="25"/>
      <c r="U15" s="25"/>
      <c r="V15" s="25"/>
      <c r="W15" s="25"/>
      <c r="X15" s="25"/>
      <c r="Y15" s="25"/>
      <c r="Z15" s="25"/>
    </row>
    <row r="16" spans="1:26" s="3" customFormat="1" x14ac:dyDescent="0.25">
      <c r="A16" s="31"/>
      <c r="B16" s="31"/>
      <c r="C16" s="32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8"/>
      <c r="R16" s="25"/>
      <c r="S16" s="25"/>
      <c r="T16" s="25"/>
      <c r="U16" s="25"/>
      <c r="V16" s="25"/>
      <c r="W16" s="25"/>
      <c r="X16" s="25"/>
      <c r="Y16" s="25"/>
      <c r="Z16" s="25"/>
    </row>
    <row r="17" spans="1:26" s="3" customFormat="1" x14ac:dyDescent="0.25">
      <c r="A17" s="31"/>
      <c r="B17" s="31"/>
      <c r="C17" s="32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8"/>
      <c r="R17" s="25"/>
      <c r="S17" s="25"/>
      <c r="T17" s="25"/>
      <c r="U17" s="25"/>
      <c r="V17" s="25"/>
      <c r="W17" s="25"/>
      <c r="X17" s="25"/>
      <c r="Y17" s="25"/>
      <c r="Z17" s="25"/>
    </row>
    <row r="18" spans="1:26" s="3" customFormat="1" x14ac:dyDescent="0.25">
      <c r="A18" s="31"/>
      <c r="B18" s="31"/>
      <c r="C18" s="3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8"/>
      <c r="R18" s="25"/>
      <c r="S18" s="25"/>
      <c r="T18" s="25"/>
      <c r="U18" s="25"/>
      <c r="V18" s="25"/>
      <c r="W18" s="25"/>
      <c r="X18" s="25"/>
      <c r="Y18" s="25"/>
      <c r="Z18" s="25"/>
    </row>
    <row r="19" spans="1:26" s="3" customFormat="1" x14ac:dyDescent="0.25">
      <c r="A19" s="31"/>
      <c r="B19" s="31"/>
      <c r="C19" s="32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8"/>
      <c r="R19" s="25"/>
      <c r="S19" s="25"/>
      <c r="T19" s="25"/>
      <c r="U19" s="25"/>
      <c r="V19" s="25"/>
      <c r="W19" s="25"/>
      <c r="X19" s="25"/>
      <c r="Y19" s="25"/>
      <c r="Z19" s="25"/>
    </row>
    <row r="20" spans="1:26" s="3" customFormat="1" x14ac:dyDescent="0.25">
      <c r="A20" s="31"/>
      <c r="B20" s="31"/>
      <c r="C20" s="32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8"/>
      <c r="R20" s="25"/>
      <c r="S20" s="25"/>
      <c r="T20" s="25"/>
      <c r="U20" s="25"/>
      <c r="V20" s="25"/>
      <c r="W20" s="25"/>
      <c r="X20" s="25"/>
      <c r="Y20" s="25"/>
      <c r="Z20" s="25"/>
    </row>
    <row r="21" spans="1:26" s="3" customFormat="1" x14ac:dyDescent="0.25">
      <c r="A21" s="31"/>
      <c r="B21" s="31"/>
      <c r="C21" s="32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8"/>
      <c r="R21" s="25"/>
      <c r="S21" s="25"/>
      <c r="T21" s="25"/>
      <c r="U21" s="25"/>
      <c r="V21" s="25"/>
      <c r="W21" s="25"/>
      <c r="X21" s="25"/>
      <c r="Y21" s="25"/>
      <c r="Z21" s="25"/>
    </row>
    <row r="22" spans="1:26" s="3" customFormat="1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"/>
      <c r="R22" s="25"/>
      <c r="S22" s="25"/>
      <c r="T22" s="25"/>
      <c r="U22" s="25"/>
      <c r="V22" s="25"/>
      <c r="W22" s="25"/>
      <c r="X22" s="25"/>
      <c r="Y22" s="25"/>
      <c r="Z22" s="25"/>
    </row>
    <row r="23" spans="1:26" s="3" customForma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8"/>
      <c r="R23" s="25"/>
      <c r="S23" s="25"/>
      <c r="T23" s="25"/>
      <c r="U23" s="25"/>
      <c r="V23" s="25"/>
      <c r="W23" s="25"/>
      <c r="X23" s="25"/>
      <c r="Y23" s="25"/>
      <c r="Z23" s="25"/>
    </row>
    <row r="24" spans="1:26" s="3" customFormat="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8"/>
      <c r="R24" s="25"/>
      <c r="S24" s="25"/>
      <c r="T24" s="25"/>
      <c r="U24" s="25"/>
      <c r="V24" s="25"/>
      <c r="W24" s="25"/>
      <c r="X24" s="25"/>
      <c r="Y24" s="25"/>
      <c r="Z24" s="25"/>
    </row>
    <row r="25" spans="1:26" s="3" customForma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8"/>
      <c r="R25" s="25"/>
      <c r="S25" s="25"/>
      <c r="T25" s="25"/>
      <c r="U25" s="25"/>
      <c r="V25" s="25"/>
      <c r="W25" s="25"/>
      <c r="X25" s="25"/>
      <c r="Y25" s="25"/>
      <c r="Z25" s="25"/>
    </row>
    <row r="26" spans="1:26" s="3" customForma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8"/>
      <c r="R26" s="25"/>
      <c r="S26" s="25"/>
      <c r="T26" s="25"/>
      <c r="U26" s="25"/>
      <c r="V26" s="25"/>
      <c r="W26" s="25"/>
      <c r="X26" s="25"/>
      <c r="Y26" s="25"/>
      <c r="Z26" s="25"/>
    </row>
    <row r="27" spans="1:26" s="3" customFormat="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8"/>
      <c r="R27" s="25"/>
      <c r="S27" s="25"/>
      <c r="T27" s="25"/>
      <c r="U27" s="25"/>
      <c r="V27" s="25"/>
      <c r="W27" s="25"/>
      <c r="X27" s="25"/>
      <c r="Y27" s="25"/>
      <c r="Z27" s="25"/>
    </row>
    <row r="28" spans="1:26" s="3" customFormat="1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8"/>
      <c r="R28" s="25"/>
      <c r="S28" s="25"/>
      <c r="T28" s="25"/>
      <c r="U28" s="25"/>
      <c r="V28" s="25"/>
      <c r="W28" s="25"/>
      <c r="X28" s="25"/>
      <c r="Y28" s="25"/>
      <c r="Z28" s="25"/>
    </row>
    <row r="29" spans="1:26" s="3" customFormat="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8"/>
      <c r="R29" s="25"/>
      <c r="S29" s="25"/>
      <c r="T29" s="25"/>
      <c r="U29" s="25"/>
      <c r="V29" s="25"/>
      <c r="W29" s="25"/>
      <c r="X29" s="25"/>
      <c r="Y29" s="25"/>
      <c r="Z29" s="25"/>
    </row>
    <row r="30" spans="1:26" s="3" customForma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8"/>
      <c r="R30" s="25"/>
      <c r="S30" s="25"/>
      <c r="T30" s="25"/>
      <c r="U30" s="25"/>
      <c r="V30" s="25"/>
      <c r="W30" s="25"/>
      <c r="X30" s="25"/>
      <c r="Y30" s="25"/>
      <c r="Z30" s="25"/>
    </row>
    <row r="31" spans="1:26" s="3" customFormat="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8"/>
      <c r="R31" s="25"/>
      <c r="S31" s="25"/>
      <c r="T31" s="25"/>
      <c r="U31" s="25"/>
      <c r="V31" s="25"/>
      <c r="W31" s="25"/>
      <c r="X31" s="25"/>
      <c r="Y31" s="25"/>
      <c r="Z31" s="25"/>
    </row>
    <row r="32" spans="1:26" s="3" customFormat="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8"/>
      <c r="R32" s="25"/>
      <c r="S32" s="25"/>
      <c r="T32" s="25"/>
      <c r="U32" s="25"/>
      <c r="V32" s="25"/>
      <c r="W32" s="25"/>
      <c r="X32" s="25"/>
      <c r="Y32" s="25"/>
      <c r="Z32" s="25"/>
    </row>
    <row r="33" spans="1:26" s="3" customFormat="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8"/>
      <c r="R33" s="25"/>
      <c r="S33" s="25"/>
      <c r="T33" s="25"/>
      <c r="U33" s="25"/>
      <c r="V33" s="25"/>
      <c r="W33" s="25"/>
      <c r="X33" s="25"/>
      <c r="Y33" s="25"/>
      <c r="Z33" s="25"/>
    </row>
    <row r="34" spans="1:26" s="3" customFormat="1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8"/>
      <c r="R34" s="25"/>
      <c r="S34" s="25"/>
      <c r="T34" s="25"/>
      <c r="U34" s="25"/>
      <c r="V34" s="25"/>
      <c r="W34" s="25"/>
      <c r="X34" s="25"/>
      <c r="Y34" s="25"/>
      <c r="Z34" s="25"/>
    </row>
    <row r="35" spans="1:26" s="3" customFormat="1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8"/>
      <c r="R35" s="25"/>
      <c r="S35" s="25"/>
      <c r="T35" s="25"/>
      <c r="U35" s="25"/>
      <c r="V35" s="25"/>
      <c r="W35" s="25"/>
      <c r="X35" s="25"/>
      <c r="Y35" s="25"/>
      <c r="Z35" s="25"/>
    </row>
    <row r="36" spans="1:26" s="3" customFormat="1" x14ac:dyDescent="0.25">
      <c r="A36" s="31"/>
      <c r="B36" s="31"/>
      <c r="C36" s="33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8"/>
      <c r="R36" s="25"/>
      <c r="S36" s="25"/>
      <c r="T36" s="25"/>
      <c r="U36" s="25"/>
      <c r="V36" s="25"/>
      <c r="W36" s="25"/>
      <c r="X36" s="25"/>
      <c r="Y36" s="25"/>
      <c r="Z36" s="25"/>
    </row>
    <row r="37" spans="1:26" s="3" customFormat="1" x14ac:dyDescent="0.25">
      <c r="A37" s="31"/>
      <c r="B37" s="31"/>
      <c r="C37" s="33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8"/>
      <c r="R37" s="25"/>
      <c r="S37" s="25"/>
      <c r="T37" s="25"/>
      <c r="U37" s="25"/>
      <c r="V37" s="25"/>
      <c r="W37" s="25"/>
      <c r="X37" s="25"/>
      <c r="Y37" s="25"/>
      <c r="Z37" s="25"/>
    </row>
    <row r="38" spans="1:26" s="3" customForma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8"/>
      <c r="R38" s="25"/>
      <c r="S38" s="25"/>
      <c r="T38" s="25"/>
      <c r="U38" s="25"/>
      <c r="V38" s="25"/>
      <c r="W38" s="25"/>
      <c r="X38" s="25"/>
      <c r="Y38" s="25"/>
      <c r="Z38" s="25"/>
    </row>
    <row r="39" spans="1:26" s="3" customFormat="1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8"/>
      <c r="R39" s="25"/>
      <c r="S39" s="25"/>
      <c r="T39" s="25"/>
      <c r="U39" s="25"/>
      <c r="V39" s="25"/>
      <c r="W39" s="25"/>
      <c r="X39" s="25"/>
      <c r="Y39" s="25"/>
      <c r="Z39" s="25"/>
    </row>
    <row r="40" spans="1:26" s="3" customForma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8"/>
      <c r="R40" s="25"/>
      <c r="S40" s="25"/>
      <c r="T40" s="25"/>
      <c r="U40" s="25"/>
      <c r="V40" s="25"/>
      <c r="W40" s="25"/>
      <c r="X40" s="25"/>
      <c r="Y40" s="25"/>
      <c r="Z40" s="25"/>
    </row>
    <row r="41" spans="1:26" s="3" customFormat="1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8"/>
      <c r="R41" s="25"/>
      <c r="S41" s="25"/>
      <c r="T41" s="25"/>
      <c r="U41" s="25"/>
      <c r="V41" s="25"/>
      <c r="W41" s="25"/>
      <c r="X41" s="25"/>
      <c r="Y41" s="25"/>
      <c r="Z41" s="25"/>
    </row>
    <row r="42" spans="1:26" s="3" customFormat="1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8"/>
      <c r="R42" s="25"/>
      <c r="S42" s="25"/>
      <c r="T42" s="25"/>
      <c r="U42" s="25"/>
      <c r="V42" s="25"/>
      <c r="W42" s="25"/>
      <c r="X42" s="25"/>
      <c r="Y42" s="25"/>
      <c r="Z42" s="25"/>
    </row>
    <row r="43" spans="1:26" s="3" customFormat="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8"/>
      <c r="R43" s="25"/>
      <c r="S43" s="25"/>
      <c r="T43" s="25"/>
      <c r="U43" s="25"/>
      <c r="V43" s="25"/>
      <c r="W43" s="25"/>
      <c r="X43" s="25"/>
      <c r="Y43" s="25"/>
      <c r="Z43" s="25"/>
    </row>
    <row r="44" spans="1:26" s="3" customForma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8"/>
      <c r="R44" s="25"/>
      <c r="S44" s="25"/>
      <c r="T44" s="25"/>
      <c r="U44" s="25"/>
      <c r="V44" s="25"/>
      <c r="W44" s="25"/>
      <c r="X44" s="25"/>
      <c r="Y44" s="25"/>
      <c r="Z44" s="25"/>
    </row>
    <row r="45" spans="1:26" s="3" customForma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8"/>
      <c r="R45" s="25"/>
      <c r="S45" s="25"/>
      <c r="T45" s="25"/>
      <c r="U45" s="25"/>
      <c r="V45" s="25"/>
      <c r="W45" s="25"/>
      <c r="X45" s="25"/>
      <c r="Y45" s="25"/>
      <c r="Z45" s="25"/>
    </row>
    <row r="46" spans="1:26" s="3" customFormat="1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8"/>
      <c r="R46" s="25"/>
      <c r="S46" s="25"/>
      <c r="T46" s="25"/>
      <c r="U46" s="25"/>
      <c r="V46" s="25"/>
      <c r="W46" s="25"/>
      <c r="X46" s="25"/>
      <c r="Y46" s="25"/>
      <c r="Z46" s="25"/>
    </row>
    <row r="47" spans="1:26" s="3" customFormat="1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8"/>
      <c r="R47" s="25"/>
      <c r="S47" s="25"/>
      <c r="T47" s="25"/>
      <c r="U47" s="25"/>
      <c r="V47" s="25"/>
      <c r="W47" s="25"/>
      <c r="X47" s="25"/>
      <c r="Y47" s="25"/>
      <c r="Z47" s="25"/>
    </row>
    <row r="48" spans="1:26" s="3" customFormat="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8"/>
      <c r="R48" s="25"/>
      <c r="S48" s="25"/>
      <c r="T48" s="25"/>
      <c r="U48" s="25"/>
      <c r="V48" s="25"/>
      <c r="W48" s="25"/>
      <c r="X48" s="25"/>
      <c r="Y48" s="25"/>
      <c r="Z48" s="25"/>
    </row>
    <row r="49" spans="1:26" s="3" customFormat="1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8"/>
      <c r="R49" s="25"/>
      <c r="S49" s="25"/>
      <c r="T49" s="25"/>
      <c r="U49" s="25"/>
      <c r="V49" s="25"/>
      <c r="W49" s="25"/>
      <c r="X49" s="25"/>
      <c r="Y49" s="25"/>
      <c r="Z49" s="25"/>
    </row>
    <row r="50" spans="1:26" s="3" customFormat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8"/>
      <c r="R50" s="25"/>
      <c r="S50" s="25"/>
      <c r="T50" s="25"/>
      <c r="U50" s="25"/>
      <c r="V50" s="25"/>
      <c r="W50" s="25"/>
      <c r="X50" s="25"/>
      <c r="Y50" s="25"/>
      <c r="Z50" s="25"/>
    </row>
    <row r="51" spans="1:26" s="3" customFormat="1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8"/>
      <c r="R51" s="25"/>
      <c r="S51" s="25"/>
      <c r="T51" s="25"/>
      <c r="U51" s="25"/>
      <c r="V51" s="25"/>
      <c r="W51" s="25"/>
      <c r="X51" s="25"/>
      <c r="Y51" s="25"/>
      <c r="Z51" s="25"/>
    </row>
    <row r="52" spans="1:26" s="3" customFormat="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8"/>
      <c r="R52" s="25"/>
      <c r="S52" s="25"/>
      <c r="T52" s="25"/>
      <c r="U52" s="25"/>
      <c r="V52" s="25"/>
      <c r="W52" s="25"/>
      <c r="X52" s="25"/>
      <c r="Y52" s="25"/>
      <c r="Z52" s="25"/>
    </row>
    <row r="53" spans="1:26" s="3" customFormat="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8"/>
      <c r="R53" s="25"/>
      <c r="S53" s="25"/>
      <c r="T53" s="25"/>
      <c r="U53" s="25"/>
      <c r="V53" s="25"/>
      <c r="W53" s="25"/>
      <c r="X53" s="25"/>
      <c r="Y53" s="25"/>
      <c r="Z53" s="25"/>
    </row>
    <row r="54" spans="1:26" s="3" customForma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8"/>
      <c r="R54" s="25"/>
      <c r="S54" s="25"/>
      <c r="T54" s="25"/>
      <c r="U54" s="25"/>
      <c r="V54" s="25"/>
      <c r="W54" s="25"/>
      <c r="X54" s="25"/>
      <c r="Y54" s="25"/>
      <c r="Z54" s="25"/>
    </row>
    <row r="55" spans="1:26" s="3" customForma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8"/>
      <c r="R55" s="25"/>
      <c r="S55" s="25"/>
      <c r="T55" s="25"/>
      <c r="U55" s="25"/>
      <c r="V55" s="25"/>
      <c r="W55" s="25"/>
      <c r="X55" s="25"/>
      <c r="Y55" s="25"/>
      <c r="Z55" s="25"/>
    </row>
    <row r="56" spans="1:26" s="3" customFormat="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8"/>
      <c r="R56" s="25"/>
      <c r="S56" s="25"/>
      <c r="T56" s="25"/>
      <c r="U56" s="25"/>
      <c r="V56" s="25"/>
      <c r="W56" s="25"/>
      <c r="X56" s="25"/>
      <c r="Y56" s="25"/>
      <c r="Z56" s="25"/>
    </row>
    <row r="57" spans="1:26" s="3" customFormat="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8"/>
      <c r="R57" s="25"/>
      <c r="S57" s="25"/>
      <c r="T57" s="25"/>
      <c r="U57" s="25"/>
      <c r="V57" s="25"/>
      <c r="W57" s="25"/>
      <c r="X57" s="25"/>
      <c r="Y57" s="25"/>
      <c r="Z57" s="25"/>
    </row>
    <row r="58" spans="1:26" s="3" customForma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8"/>
      <c r="R58" s="25"/>
      <c r="S58" s="25"/>
      <c r="T58" s="25"/>
      <c r="U58" s="25"/>
      <c r="V58" s="25"/>
      <c r="W58" s="25"/>
      <c r="X58" s="25"/>
      <c r="Y58" s="25"/>
      <c r="Z58" s="25"/>
    </row>
    <row r="59" spans="1:26" s="3" customForma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8"/>
      <c r="R59" s="25"/>
      <c r="S59" s="25"/>
      <c r="T59" s="25"/>
      <c r="U59" s="25"/>
      <c r="V59" s="25"/>
      <c r="W59" s="25"/>
      <c r="X59" s="25"/>
      <c r="Y59" s="25"/>
      <c r="Z59" s="25"/>
    </row>
    <row r="60" spans="1:26" s="3" customFormat="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8"/>
      <c r="R60" s="25"/>
      <c r="S60" s="25"/>
      <c r="T60" s="25"/>
      <c r="U60" s="25"/>
      <c r="V60" s="25"/>
      <c r="W60" s="25"/>
      <c r="X60" s="25"/>
      <c r="Y60" s="25"/>
      <c r="Z60" s="25"/>
    </row>
    <row r="61" spans="1:26" s="3" customFormat="1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8"/>
      <c r="R61" s="25"/>
      <c r="S61" s="25"/>
      <c r="T61" s="25"/>
      <c r="U61" s="25"/>
      <c r="V61" s="25"/>
      <c r="W61" s="25"/>
      <c r="X61" s="25"/>
      <c r="Y61" s="25"/>
      <c r="Z61" s="25"/>
    </row>
    <row r="62" spans="1:26" s="3" customForma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8"/>
      <c r="R62" s="25"/>
      <c r="S62" s="25"/>
      <c r="T62" s="25"/>
      <c r="U62" s="25"/>
      <c r="V62" s="25"/>
      <c r="W62" s="25"/>
      <c r="X62" s="25"/>
      <c r="Y62" s="25"/>
      <c r="Z62" s="25"/>
    </row>
    <row r="63" spans="1:26" s="3" customFormat="1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8"/>
      <c r="R63" s="25"/>
      <c r="S63" s="25"/>
      <c r="T63" s="25"/>
      <c r="U63" s="25"/>
      <c r="V63" s="25"/>
      <c r="W63" s="25"/>
      <c r="X63" s="25"/>
      <c r="Y63" s="25"/>
      <c r="Z63" s="25"/>
    </row>
    <row r="64" spans="1:26" s="3" customForma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8"/>
      <c r="R64" s="25"/>
      <c r="S64" s="25"/>
      <c r="T64" s="25"/>
      <c r="U64" s="25"/>
      <c r="V64" s="25"/>
      <c r="W64" s="25"/>
      <c r="X64" s="25"/>
      <c r="Y64" s="25"/>
      <c r="Z64" s="25"/>
    </row>
    <row r="65" spans="1:26" s="3" customFormat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8"/>
      <c r="R65" s="25"/>
      <c r="S65" s="25"/>
      <c r="T65" s="25"/>
      <c r="U65" s="25"/>
      <c r="V65" s="25"/>
      <c r="W65" s="25"/>
      <c r="X65" s="25"/>
      <c r="Y65" s="25"/>
      <c r="Z65" s="25"/>
    </row>
    <row r="66" spans="1:26" s="3" customFormat="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8"/>
      <c r="R66" s="25"/>
      <c r="S66" s="25"/>
      <c r="T66" s="25"/>
      <c r="U66" s="25"/>
      <c r="V66" s="25"/>
      <c r="W66" s="25"/>
      <c r="X66" s="25"/>
      <c r="Y66" s="25"/>
      <c r="Z66" s="25"/>
    </row>
    <row r="67" spans="1:26" s="3" customFormat="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8"/>
      <c r="R67" s="25"/>
      <c r="S67" s="25"/>
      <c r="T67" s="25"/>
      <c r="U67" s="25"/>
      <c r="V67" s="25"/>
      <c r="W67" s="25"/>
      <c r="X67" s="25"/>
      <c r="Y67" s="25"/>
      <c r="Z67" s="25"/>
    </row>
    <row r="68" spans="1:26" s="3" customFormat="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8"/>
      <c r="R68" s="25"/>
      <c r="S68" s="25"/>
      <c r="T68" s="25"/>
      <c r="U68" s="25"/>
      <c r="V68" s="25"/>
      <c r="W68" s="25"/>
      <c r="X68" s="25"/>
      <c r="Y68" s="25"/>
      <c r="Z68" s="25"/>
    </row>
    <row r="69" spans="1:26" s="3" customFormat="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8"/>
      <c r="R69" s="25"/>
      <c r="S69" s="25"/>
      <c r="T69" s="25"/>
      <c r="U69" s="25"/>
      <c r="V69" s="25"/>
      <c r="W69" s="25"/>
      <c r="X69" s="25"/>
      <c r="Y69" s="25"/>
      <c r="Z69" s="25"/>
    </row>
    <row r="70" spans="1:26" s="3" customFormat="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8"/>
      <c r="R70" s="25"/>
      <c r="S70" s="25"/>
      <c r="T70" s="25"/>
      <c r="U70" s="25"/>
      <c r="V70" s="25"/>
      <c r="W70" s="25"/>
      <c r="X70" s="25"/>
      <c r="Y70" s="25"/>
      <c r="Z70" s="25"/>
    </row>
    <row r="71" spans="1:26" s="3" customForma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8"/>
      <c r="R71" s="25"/>
      <c r="S71" s="25"/>
      <c r="T71" s="25"/>
      <c r="U71" s="25"/>
      <c r="V71" s="25"/>
      <c r="W71" s="25"/>
      <c r="X71" s="25"/>
      <c r="Y71" s="25"/>
      <c r="Z71" s="25"/>
    </row>
    <row r="72" spans="1:26" s="3" customFormat="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8"/>
      <c r="R72" s="25"/>
      <c r="S72" s="25"/>
      <c r="T72" s="25"/>
      <c r="U72" s="25"/>
      <c r="V72" s="25"/>
      <c r="W72" s="25"/>
      <c r="X72" s="25"/>
      <c r="Y72" s="25"/>
      <c r="Z72" s="25"/>
    </row>
    <row r="73" spans="1:26" s="3" customFormat="1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8"/>
      <c r="R73" s="25"/>
      <c r="S73" s="25"/>
      <c r="T73" s="25"/>
      <c r="U73" s="25"/>
      <c r="V73" s="25"/>
      <c r="W73" s="25"/>
      <c r="X73" s="25"/>
      <c r="Y73" s="25"/>
      <c r="Z73" s="25"/>
    </row>
    <row r="74" spans="1:26" s="3" customFormat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8"/>
      <c r="R74" s="25"/>
      <c r="S74" s="25"/>
      <c r="T74" s="25"/>
      <c r="U74" s="25"/>
      <c r="V74" s="25"/>
      <c r="W74" s="25"/>
      <c r="X74" s="25"/>
      <c r="Y74" s="25"/>
      <c r="Z74" s="25"/>
    </row>
    <row r="75" spans="1:26" s="3" customFormat="1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8"/>
      <c r="R75" s="25"/>
      <c r="S75" s="25"/>
      <c r="T75" s="25"/>
      <c r="U75" s="25"/>
      <c r="V75" s="25"/>
      <c r="W75" s="25"/>
      <c r="X75" s="25"/>
      <c r="Y75" s="25"/>
      <c r="Z75" s="25"/>
    </row>
    <row r="76" spans="1:26" s="3" customFormat="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8"/>
      <c r="R76" s="25"/>
      <c r="S76" s="25"/>
      <c r="T76" s="25"/>
      <c r="U76" s="25"/>
      <c r="V76" s="25"/>
      <c r="W76" s="25"/>
      <c r="X76" s="25"/>
      <c r="Y76" s="25"/>
      <c r="Z76" s="25"/>
    </row>
    <row r="77" spans="1:26" s="3" customFormat="1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8"/>
      <c r="R77" s="25"/>
      <c r="S77" s="25"/>
      <c r="T77" s="25"/>
      <c r="U77" s="25"/>
      <c r="V77" s="25"/>
      <c r="W77" s="25"/>
      <c r="X77" s="25"/>
      <c r="Y77" s="25"/>
      <c r="Z77" s="25"/>
    </row>
    <row r="78" spans="1:26" s="3" customFormat="1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8"/>
      <c r="R78" s="25"/>
      <c r="S78" s="25"/>
      <c r="T78" s="25"/>
      <c r="U78" s="25"/>
      <c r="V78" s="25"/>
      <c r="W78" s="25"/>
      <c r="X78" s="25"/>
      <c r="Y78" s="25"/>
      <c r="Z78" s="25"/>
    </row>
    <row r="79" spans="1:26" s="3" customForma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8"/>
      <c r="R79" s="25"/>
      <c r="S79" s="25"/>
      <c r="T79" s="25"/>
      <c r="U79" s="25"/>
      <c r="V79" s="25"/>
      <c r="W79" s="25"/>
      <c r="X79" s="25"/>
      <c r="Y79" s="25"/>
      <c r="Z79" s="25"/>
    </row>
    <row r="80" spans="1:26" s="3" customFormat="1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8"/>
      <c r="R80" s="25"/>
      <c r="S80" s="25"/>
      <c r="T80" s="25"/>
      <c r="U80" s="25"/>
      <c r="V80" s="25"/>
      <c r="W80" s="25"/>
      <c r="X80" s="25"/>
      <c r="Y80" s="25"/>
      <c r="Z80" s="25"/>
    </row>
    <row r="81" spans="1:26" s="3" customFormat="1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8"/>
      <c r="R81" s="25"/>
      <c r="S81" s="25"/>
      <c r="T81" s="25"/>
      <c r="U81" s="25"/>
      <c r="V81" s="25"/>
      <c r="W81" s="25"/>
      <c r="X81" s="25"/>
      <c r="Y81" s="25"/>
      <c r="Z81" s="25"/>
    </row>
    <row r="82" spans="1:26" s="3" customFormat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8"/>
      <c r="R82" s="25"/>
      <c r="S82" s="25"/>
      <c r="T82" s="25"/>
      <c r="U82" s="25"/>
      <c r="V82" s="25"/>
      <c r="W82" s="25"/>
      <c r="X82" s="25"/>
      <c r="Y82" s="25"/>
      <c r="Z82" s="25"/>
    </row>
    <row r="83" spans="1:26" s="3" customForma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8"/>
      <c r="R83" s="25"/>
      <c r="S83" s="25"/>
      <c r="T83" s="25"/>
      <c r="U83" s="25"/>
      <c r="V83" s="25"/>
      <c r="W83" s="25"/>
      <c r="X83" s="25"/>
      <c r="Y83" s="25"/>
      <c r="Z83" s="25"/>
    </row>
    <row r="84" spans="1:26" s="3" customFormat="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8"/>
      <c r="R84" s="25"/>
      <c r="S84" s="25"/>
      <c r="T84" s="25"/>
      <c r="U84" s="25"/>
      <c r="V84" s="25"/>
      <c r="W84" s="25"/>
      <c r="X84" s="25"/>
      <c r="Y84" s="25"/>
      <c r="Z84" s="25"/>
    </row>
    <row r="85" spans="1:26" s="3" customForma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8"/>
      <c r="R85" s="25"/>
      <c r="S85" s="25"/>
      <c r="T85" s="25"/>
      <c r="U85" s="25"/>
      <c r="V85" s="25"/>
      <c r="W85" s="25"/>
      <c r="X85" s="25"/>
      <c r="Y85" s="25"/>
      <c r="Z85" s="25"/>
    </row>
    <row r="86" spans="1:26" s="3" customForma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8"/>
      <c r="R86" s="25"/>
      <c r="S86" s="25"/>
      <c r="T86" s="25"/>
      <c r="U86" s="25"/>
      <c r="V86" s="25"/>
      <c r="W86" s="25"/>
      <c r="X86" s="25"/>
      <c r="Y86" s="25"/>
      <c r="Z86" s="25"/>
    </row>
    <row r="87" spans="1:26" s="3" customFormat="1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8"/>
      <c r="R87" s="25"/>
      <c r="S87" s="25"/>
      <c r="T87" s="25"/>
      <c r="U87" s="25"/>
      <c r="V87" s="25"/>
      <c r="W87" s="25"/>
      <c r="X87" s="25"/>
      <c r="Y87" s="25"/>
      <c r="Z87" s="25"/>
    </row>
    <row r="88" spans="1:26" s="3" customFormat="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8"/>
      <c r="R88" s="25"/>
      <c r="S88" s="25"/>
      <c r="T88" s="25"/>
      <c r="U88" s="25"/>
      <c r="V88" s="25"/>
      <c r="W88" s="25"/>
      <c r="X88" s="25"/>
      <c r="Y88" s="25"/>
      <c r="Z88" s="25"/>
    </row>
    <row r="89" spans="1:26" s="3" customFormat="1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8"/>
      <c r="R89" s="25"/>
      <c r="S89" s="25"/>
      <c r="T89" s="25"/>
      <c r="U89" s="25"/>
      <c r="V89" s="25"/>
      <c r="W89" s="25"/>
      <c r="X89" s="25"/>
      <c r="Y89" s="25"/>
      <c r="Z89" s="25"/>
    </row>
    <row r="90" spans="1:26" s="3" customFormat="1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8"/>
      <c r="R90" s="25"/>
      <c r="S90" s="25"/>
      <c r="T90" s="25"/>
      <c r="U90" s="25"/>
      <c r="V90" s="25"/>
      <c r="W90" s="25"/>
      <c r="X90" s="25"/>
      <c r="Y90" s="25"/>
      <c r="Z90" s="25"/>
    </row>
    <row r="91" spans="1:26" s="3" customFormat="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8"/>
      <c r="R91" s="25"/>
      <c r="S91" s="25"/>
      <c r="T91" s="25"/>
      <c r="U91" s="25"/>
      <c r="V91" s="25"/>
      <c r="W91" s="25"/>
      <c r="X91" s="25"/>
      <c r="Y91" s="25"/>
      <c r="Z91" s="25"/>
    </row>
    <row r="92" spans="1:26" s="3" customFormat="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8"/>
      <c r="R92" s="25"/>
      <c r="S92" s="25"/>
      <c r="T92" s="25"/>
      <c r="U92" s="25"/>
      <c r="V92" s="25"/>
      <c r="W92" s="25"/>
      <c r="X92" s="25"/>
      <c r="Y92" s="25"/>
      <c r="Z92" s="25"/>
    </row>
    <row r="93" spans="1:26" s="3" customFormat="1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8"/>
      <c r="R93" s="25"/>
      <c r="S93" s="25"/>
      <c r="T93" s="25"/>
      <c r="U93" s="25"/>
      <c r="V93" s="25"/>
      <c r="W93" s="25"/>
      <c r="X93" s="25"/>
      <c r="Y93" s="25"/>
      <c r="Z93" s="25"/>
    </row>
    <row r="94" spans="1:26" s="3" customForma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8"/>
      <c r="R94" s="25"/>
      <c r="S94" s="25"/>
      <c r="T94" s="25"/>
      <c r="U94" s="25"/>
      <c r="V94" s="25"/>
      <c r="W94" s="25"/>
      <c r="X94" s="25"/>
      <c r="Y94" s="25"/>
      <c r="Z94" s="25"/>
    </row>
    <row r="95" spans="1:26" s="3" customForma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8"/>
      <c r="R95" s="25"/>
      <c r="S95" s="25"/>
      <c r="T95" s="25"/>
      <c r="U95" s="25"/>
      <c r="V95" s="25"/>
      <c r="W95" s="25"/>
      <c r="X95" s="25"/>
      <c r="Y95" s="25"/>
      <c r="Z95" s="25"/>
    </row>
    <row r="96" spans="1:26" s="3" customFormat="1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8"/>
      <c r="R96" s="25"/>
      <c r="S96" s="25"/>
      <c r="T96" s="25"/>
      <c r="U96" s="25"/>
      <c r="V96" s="25"/>
      <c r="W96" s="25"/>
      <c r="X96" s="25"/>
      <c r="Y96" s="25"/>
      <c r="Z96" s="25"/>
    </row>
    <row r="97" spans="1:26" s="3" customForma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8"/>
      <c r="R97" s="25"/>
      <c r="S97" s="25"/>
      <c r="T97" s="25"/>
      <c r="U97" s="25"/>
      <c r="V97" s="25"/>
      <c r="W97" s="25"/>
      <c r="X97" s="25"/>
      <c r="Y97" s="25"/>
      <c r="Z97" s="25"/>
    </row>
    <row r="98" spans="1:26" s="3" customFormat="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8"/>
      <c r="R98" s="25"/>
      <c r="S98" s="25"/>
      <c r="T98" s="25"/>
      <c r="U98" s="25"/>
      <c r="V98" s="25"/>
      <c r="W98" s="25"/>
      <c r="X98" s="25"/>
      <c r="Y98" s="25"/>
      <c r="Z98" s="25"/>
    </row>
    <row r="99" spans="1:26" s="3" customFormat="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8"/>
      <c r="R99" s="25"/>
      <c r="S99" s="25"/>
      <c r="T99" s="25"/>
      <c r="U99" s="25"/>
      <c r="V99" s="25"/>
      <c r="W99" s="25"/>
      <c r="X99" s="25"/>
      <c r="Y99" s="25"/>
      <c r="Z99" s="25"/>
    </row>
    <row r="100" spans="1:26" s="3" customFormat="1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8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s="3" customFormat="1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8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s="3" customForma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8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s="3" customFormat="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8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s="3" customForma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8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s="3" customFormat="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8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s="3" customFormat="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8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s="3" customFormat="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8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s="3" customFormat="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8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s="3" customFormat="1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8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s="3" customFormat="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8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s="3" customForma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8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s="3" customFormat="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8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s="3" customFormat="1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8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s="3" customFormat="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8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s="3" customFormat="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8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s="3" customFormat="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8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s="3" customFormat="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8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s="3" customFormat="1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8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s="3" customFormat="1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8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s="3" customFormat="1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8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s="3" customFormat="1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8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s="3" customFormat="1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8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s="3" customFormat="1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8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s="3" customFormat="1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8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s="3" customFormat="1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8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s="3" customForma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8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s="3" customFormat="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8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s="3" customFormat="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8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s="3" customFormat="1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8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s="3" customFormat="1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8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s="3" customFormat="1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8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s="3" customFormat="1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8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s="3" customFormat="1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8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s="3" customFormat="1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8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s="3" customFormat="1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8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s="3" customFormat="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8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s="3" customFormat="1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8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s="3" customFormat="1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8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s="3" customFormat="1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8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s="3" customForma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8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s="3" customFormat="1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8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s="3" customFormat="1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8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s="3" customFormat="1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8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s="3" customFormat="1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8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s="3" customFormat="1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8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s="3" customFormat="1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8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s="3" customFormat="1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8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s="3" customFormat="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8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s="3" customFormat="1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8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s="3" customFormat="1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8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s="3" customFormat="1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8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s="3" customFormat="1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8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s="3" customFormat="1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8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s="3" customFormat="1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8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s="3" customFormat="1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8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s="3" customFormat="1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8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s="3" customFormat="1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8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s="3" customFormat="1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8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s="3" customFormat="1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8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s="3" customFormat="1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8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s="3" customFormat="1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8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s="3" customFormat="1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8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s="3" customFormat="1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8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s="3" customFormat="1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8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s="3" customFormat="1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8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s="3" customFormat="1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8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s="3" customFormat="1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8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s="3" customFormat="1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8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s="3" customFormat="1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8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s="3" customFormat="1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8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s="3" customFormat="1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8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s="3" customFormat="1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8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s="3" customFormat="1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8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s="3" customFormat="1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8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s="3" customFormat="1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8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s="3" customFormat="1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8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s="3" customFormat="1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8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s="3" customFormat="1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8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s="3" customFormat="1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8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s="3" customFormat="1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8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s="3" customFormat="1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8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s="3" customFormat="1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8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s="3" customFormat="1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8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s="3" customFormat="1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8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s="3" customFormat="1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8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s="3" customFormat="1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8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s="3" customFormat="1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8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s="3" customFormat="1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8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s="3" customFormat="1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8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s="3" customFormat="1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8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s="3" customFormat="1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8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s="3" customFormat="1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8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s="3" customFormat="1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8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s="3" customFormat="1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8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s="3" customFormat="1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8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s="3" customFormat="1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8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s="3" customFormat="1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8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s="3" customFormat="1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8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s="3" customFormat="1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8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s="3" customFormat="1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8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s="3" customFormat="1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8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s="3" customFormat="1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8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s="3" customFormat="1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8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s="3" customFormat="1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8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s="3" customFormat="1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8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s="3" customFormat="1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8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s="3" customFormat="1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8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s="3" customFormat="1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8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s="3" customFormat="1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8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s="3" customFormat="1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8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s="3" customFormat="1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8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s="3" customFormat="1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8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s="3" customFormat="1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8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s="3" customFormat="1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8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s="3" customFormat="1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8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s="3" customFormat="1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8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s="3" customFormat="1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8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s="3" customFormat="1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8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s="3" customFormat="1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8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s="3" customFormat="1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8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s="3" customFormat="1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8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s="3" customFormat="1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8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s="3" customFormat="1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8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s="3" customFormat="1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8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s="3" customFormat="1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8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s="3" customFormat="1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8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s="3" customFormat="1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8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s="3" customFormat="1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8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s="3" customFormat="1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8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s="3" customFormat="1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8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s="3" customFormat="1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8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s="3" customFormat="1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8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s="3" customFormat="1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8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s="3" customFormat="1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8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s="3" customFormat="1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8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s="3" customFormat="1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8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s="3" customFormat="1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8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s="3" customFormat="1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8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s="3" customFormat="1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8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s="3" customFormat="1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8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s="3" customFormat="1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8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s="3" customFormat="1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8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s="3" customForma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8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s="3" customForma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8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s="3" customForma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8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s="3" customForma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8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s="3" customForma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8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s="3" customForma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8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s="3" customForma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8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s="3" customForma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8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s="3" customForma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8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s="3" customForma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8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s="3" customForma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8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s="3" customForma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8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s="3" customForma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8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s="3" customForma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8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s="3" customForma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8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s="3" customForma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8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s="3" customForma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8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s="3" customForma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8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s="3" customForma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8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s="3" customForma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8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s="3" customForma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8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s="3" customFormat="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8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s="3" customFormat="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8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s="3" customFormat="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8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s="3" customFormat="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8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s="3" customFormat="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8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s="3" customFormat="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8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s="3" customFormat="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8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s="3" customFormat="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8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s="3" customFormat="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8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s="3" customFormat="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8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s="3" customFormat="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8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s="3" customFormat="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8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s="3" customFormat="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8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s="3" customFormat="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8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s="3" customFormat="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8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s="3" customFormat="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8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s="3" customFormat="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8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s="3" customFormat="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8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s="3" customFormat="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8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s="3" customFormat="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8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s="3" customFormat="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8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s="3" customFormat="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8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s="3" customFormat="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8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s="3" customFormat="1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8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s="3" customFormat="1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8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s="3" customFormat="1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8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s="3" customFormat="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8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s="3" customFormat="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8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s="3" customFormat="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8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s="3" customFormat="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8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s="3" customFormat="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8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s="3" customFormat="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8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s="3" customFormat="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8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s="3" customFormat="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8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s="3" customFormat="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8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s="3" customFormat="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8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18"/>
    </row>
  </sheetData>
  <mergeCells count="1">
    <mergeCell ref="A1:P1"/>
  </mergeCells>
  <dataValidations count="3">
    <dataValidation type="whole" allowBlank="1" showInputMessage="1" showErrorMessage="1" sqref="D6:D300">
      <formula1>1</formula1>
      <formula2>5</formula2>
    </dataValidation>
    <dataValidation type="time" allowBlank="1" showInputMessage="1" showErrorMessage="1" error="Veuillez saisir une heure d'entrée au format HH:MM" sqref="C6:C300 O7:O300">
      <formula1>0</formula1>
      <formula2>0.999305555555556</formula2>
    </dataValidation>
    <dataValidation type="time" allowBlank="1" showInputMessage="1" showErrorMessage="1" error="Veuillez saisir une heure d'entrée au format HH:MM" sqref="O6">
      <formula1>0</formula1>
      <formula2>0.999305555555556</formula2>
    </dataValidation>
  </dataValidation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Veuillez saisir un GIR compris entre 1 et 6">
          <x14:formula1>
            <xm:f>codage!$E$2:$E$7</xm:f>
          </x14:formula1>
          <xm:sqref>B6:B300</xm:sqref>
        </x14:dataValidation>
        <x14:dataValidation type="list" allowBlank="1" showInputMessage="1" showErrorMessage="1" error="Veuillez saisir un N° d'acte compris entre 1 et 45">
          <x14:formula1>
            <xm:f>codage!$G$2:$G$46</xm:f>
          </x14:formula1>
          <xm:sqref>E6:N300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F458"/>
  <sheetViews>
    <sheetView workbookViewId="0">
      <pane ySplit="5" topLeftCell="A6" activePane="bottomLeft" state="frozen"/>
      <selection pane="bottomLeft" sqref="A1:C1"/>
    </sheetView>
  </sheetViews>
  <sheetFormatPr baseColWidth="10" defaultRowHeight="15" x14ac:dyDescent="0.25"/>
  <cols>
    <col min="1" max="1" width="14.42578125" customWidth="1"/>
    <col min="2" max="2" width="26.140625" customWidth="1"/>
    <col min="3" max="3" width="25.5703125" customWidth="1"/>
    <col min="4" max="4" width="20" style="11" customWidth="1"/>
    <col min="5" max="7" width="11.42578125" style="3"/>
    <col min="8" max="8" width="5.42578125" style="3" customWidth="1"/>
    <col min="9" max="21" width="11.42578125" style="3"/>
    <col min="22" max="32" width="11.42578125" style="11"/>
  </cols>
  <sheetData>
    <row r="1" spans="1:15" ht="21" x14ac:dyDescent="0.25">
      <c r="A1" s="36" t="s">
        <v>47</v>
      </c>
      <c r="B1" s="36"/>
      <c r="C1" s="3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3"/>
      <c r="B2" s="3"/>
      <c r="C2" s="3"/>
      <c r="D2" s="3"/>
    </row>
    <row r="3" spans="1:15" x14ac:dyDescent="0.25">
      <c r="A3" s="3"/>
      <c r="B3" s="3"/>
      <c r="C3" s="3"/>
      <c r="D3" s="3"/>
    </row>
    <row r="4" spans="1:15" x14ac:dyDescent="0.25">
      <c r="A4" s="3"/>
      <c r="B4" s="3"/>
      <c r="C4" s="3"/>
      <c r="D4" s="3"/>
    </row>
    <row r="5" spans="1:15" x14ac:dyDescent="0.25">
      <c r="A5" s="1" t="s">
        <v>12</v>
      </c>
      <c r="B5" s="7" t="s">
        <v>48</v>
      </c>
      <c r="C5" s="7" t="s">
        <v>49</v>
      </c>
      <c r="D5" s="3"/>
      <c r="K5" s="34">
        <v>1</v>
      </c>
      <c r="L5" s="34">
        <v>1</v>
      </c>
    </row>
    <row r="6" spans="1:15" x14ac:dyDescent="0.25">
      <c r="A6" s="2"/>
      <c r="B6" s="2"/>
      <c r="C6" s="2"/>
      <c r="D6" s="3"/>
      <c r="K6" s="34">
        <v>2</v>
      </c>
      <c r="L6" s="34">
        <v>2</v>
      </c>
    </row>
    <row r="7" spans="1:15" x14ac:dyDescent="0.25">
      <c r="A7" s="2"/>
      <c r="B7" s="2"/>
      <c r="C7" s="2"/>
      <c r="D7" s="3"/>
      <c r="K7" s="34">
        <v>3</v>
      </c>
      <c r="L7" s="34">
        <v>3</v>
      </c>
    </row>
    <row r="8" spans="1:15" x14ac:dyDescent="0.25">
      <c r="A8" s="2"/>
      <c r="B8" s="2"/>
      <c r="C8" s="2"/>
      <c r="D8" s="3"/>
      <c r="K8" s="34">
        <v>4</v>
      </c>
      <c r="L8" s="34">
        <v>4</v>
      </c>
    </row>
    <row r="9" spans="1:15" x14ac:dyDescent="0.25">
      <c r="A9" s="2"/>
      <c r="B9" s="2"/>
      <c r="C9" s="2"/>
      <c r="D9" s="3"/>
      <c r="K9" s="34">
        <v>5</v>
      </c>
      <c r="L9" s="34">
        <v>5</v>
      </c>
    </row>
    <row r="10" spans="1:15" x14ac:dyDescent="0.25">
      <c r="A10" s="2"/>
      <c r="B10" s="2"/>
      <c r="C10" s="2"/>
      <c r="D10" s="3"/>
      <c r="K10" s="34">
        <v>6</v>
      </c>
      <c r="L10" s="34"/>
    </row>
    <row r="11" spans="1:15" x14ac:dyDescent="0.25">
      <c r="A11" s="2"/>
      <c r="B11" s="2"/>
      <c r="C11" s="2"/>
      <c r="D11" s="3"/>
      <c r="K11" s="34">
        <v>7</v>
      </c>
      <c r="L11" s="34"/>
    </row>
    <row r="12" spans="1:15" x14ac:dyDescent="0.25">
      <c r="A12" s="2"/>
      <c r="B12" s="2"/>
      <c r="C12" s="2"/>
      <c r="D12" s="3"/>
      <c r="K12" s="34">
        <v>8</v>
      </c>
      <c r="L12" s="34"/>
    </row>
    <row r="13" spans="1:15" x14ac:dyDescent="0.25">
      <c r="A13" s="2"/>
      <c r="B13" s="2"/>
      <c r="C13" s="2"/>
      <c r="D13" s="3"/>
      <c r="K13" s="34">
        <v>9</v>
      </c>
      <c r="L13" s="34"/>
    </row>
    <row r="14" spans="1:15" x14ac:dyDescent="0.25">
      <c r="A14" s="2"/>
      <c r="B14" s="2"/>
      <c r="C14" s="2"/>
      <c r="D14" s="3"/>
      <c r="K14" s="34">
        <v>10</v>
      </c>
      <c r="L14" s="34"/>
    </row>
    <row r="15" spans="1:15" x14ac:dyDescent="0.25">
      <c r="A15" s="2"/>
      <c r="B15" s="2"/>
      <c r="C15" s="2"/>
      <c r="D15" s="3"/>
      <c r="K15" s="34">
        <v>11</v>
      </c>
      <c r="L15" s="34"/>
    </row>
    <row r="16" spans="1:15" x14ac:dyDescent="0.25">
      <c r="A16" s="2"/>
      <c r="B16" s="2"/>
      <c r="C16" s="2"/>
      <c r="D16" s="3"/>
      <c r="K16" s="34">
        <v>12</v>
      </c>
      <c r="L16" s="34"/>
    </row>
    <row r="17" spans="1:12" x14ac:dyDescent="0.25">
      <c r="A17" s="2"/>
      <c r="B17" s="2"/>
      <c r="C17" s="2"/>
      <c r="D17" s="3"/>
      <c r="K17" s="34">
        <v>13</v>
      </c>
      <c r="L17" s="34"/>
    </row>
    <row r="18" spans="1:12" x14ac:dyDescent="0.25">
      <c r="A18" s="2"/>
      <c r="B18" s="2"/>
      <c r="C18" s="2"/>
      <c r="D18" s="3"/>
      <c r="K18" s="34">
        <v>14</v>
      </c>
      <c r="L18" s="34"/>
    </row>
    <row r="19" spans="1:12" x14ac:dyDescent="0.25">
      <c r="A19" s="2"/>
      <c r="B19" s="2"/>
      <c r="C19" s="2"/>
      <c r="D19" s="3"/>
      <c r="K19" s="34"/>
      <c r="L19" s="34"/>
    </row>
    <row r="20" spans="1:12" x14ac:dyDescent="0.25">
      <c r="A20" s="2"/>
      <c r="B20" s="2"/>
      <c r="C20" s="2"/>
      <c r="D20" s="3"/>
      <c r="K20" s="34"/>
      <c r="L20" s="34"/>
    </row>
    <row r="21" spans="1:12" x14ac:dyDescent="0.25">
      <c r="A21" s="2"/>
      <c r="B21" s="2"/>
      <c r="C21" s="2"/>
      <c r="D21" s="3"/>
      <c r="K21" s="34"/>
      <c r="L21" s="34"/>
    </row>
    <row r="22" spans="1:12" x14ac:dyDescent="0.25">
      <c r="A22" s="2"/>
      <c r="B22" s="2"/>
      <c r="C22" s="2"/>
      <c r="D22" s="3"/>
    </row>
    <row r="23" spans="1:12" x14ac:dyDescent="0.25">
      <c r="A23" s="2"/>
      <c r="B23" s="2"/>
      <c r="C23" s="2"/>
      <c r="D23" s="3"/>
    </row>
    <row r="24" spans="1:12" x14ac:dyDescent="0.25">
      <c r="A24" s="2"/>
      <c r="B24" s="2"/>
      <c r="C24" s="2"/>
      <c r="D24" s="3"/>
    </row>
    <row r="25" spans="1:12" x14ac:dyDescent="0.25">
      <c r="A25" s="2"/>
      <c r="B25" s="2"/>
      <c r="C25" s="2"/>
      <c r="D25" s="3"/>
    </row>
    <row r="26" spans="1:12" x14ac:dyDescent="0.25">
      <c r="A26" s="2"/>
      <c r="B26" s="2"/>
      <c r="C26" s="2"/>
      <c r="D26" s="3"/>
    </row>
    <row r="27" spans="1:12" x14ac:dyDescent="0.25">
      <c r="A27" s="2"/>
      <c r="B27" s="2"/>
      <c r="C27" s="2"/>
      <c r="D27" s="3"/>
    </row>
    <row r="28" spans="1:12" x14ac:dyDescent="0.25">
      <c r="A28" s="2"/>
      <c r="B28" s="2"/>
      <c r="C28" s="2"/>
      <c r="D28" s="3"/>
    </row>
    <row r="29" spans="1:12" x14ac:dyDescent="0.25">
      <c r="A29" s="2"/>
      <c r="B29" s="2"/>
      <c r="C29" s="2"/>
      <c r="D29" s="3"/>
    </row>
    <row r="30" spans="1:12" x14ac:dyDescent="0.25">
      <c r="A30" s="2"/>
      <c r="B30" s="2"/>
      <c r="C30" s="2"/>
      <c r="D30" s="3"/>
    </row>
    <row r="31" spans="1:12" x14ac:dyDescent="0.25">
      <c r="A31" s="2"/>
      <c r="B31" s="2"/>
      <c r="C31" s="2"/>
      <c r="D31" s="3"/>
    </row>
    <row r="32" spans="1:12" x14ac:dyDescent="0.25">
      <c r="A32" s="2"/>
      <c r="B32" s="2"/>
      <c r="C32" s="2"/>
      <c r="D32" s="3"/>
    </row>
    <row r="33" spans="1:4" x14ac:dyDescent="0.25">
      <c r="A33" s="8"/>
      <c r="B33" s="8"/>
      <c r="C33" s="8"/>
      <c r="D33" s="3"/>
    </row>
    <row r="34" spans="1:4" x14ac:dyDescent="0.25">
      <c r="A34" s="8"/>
      <c r="B34" s="8"/>
      <c r="C34" s="8"/>
      <c r="D34" s="3"/>
    </row>
    <row r="35" spans="1:4" x14ac:dyDescent="0.25">
      <c r="A35" s="8"/>
      <c r="B35" s="8"/>
      <c r="C35" s="8"/>
      <c r="D35" s="3"/>
    </row>
    <row r="36" spans="1:4" x14ac:dyDescent="0.25">
      <c r="A36" s="8"/>
      <c r="B36" s="8"/>
      <c r="C36" s="8"/>
      <c r="D36" s="3"/>
    </row>
    <row r="37" spans="1:4" x14ac:dyDescent="0.25">
      <c r="A37" s="8"/>
      <c r="B37" s="8"/>
      <c r="C37" s="8"/>
      <c r="D37" s="3"/>
    </row>
    <row r="38" spans="1:4" x14ac:dyDescent="0.25">
      <c r="A38" s="8"/>
      <c r="B38" s="8"/>
      <c r="C38" s="8"/>
      <c r="D38" s="3"/>
    </row>
    <row r="39" spans="1:4" x14ac:dyDescent="0.25">
      <c r="A39" s="8"/>
      <c r="B39" s="8"/>
      <c r="C39" s="8"/>
      <c r="D39" s="3"/>
    </row>
    <row r="40" spans="1:4" x14ac:dyDescent="0.25">
      <c r="A40" s="8"/>
      <c r="B40" s="8"/>
      <c r="C40" s="8"/>
      <c r="D40" s="3"/>
    </row>
    <row r="41" spans="1:4" x14ac:dyDescent="0.25">
      <c r="A41" s="8"/>
      <c r="B41" s="8"/>
      <c r="C41" s="8"/>
      <c r="D41" s="3"/>
    </row>
    <row r="42" spans="1:4" x14ac:dyDescent="0.25">
      <c r="A42" s="8"/>
      <c r="B42" s="8"/>
      <c r="C42" s="8"/>
      <c r="D42" s="3"/>
    </row>
    <row r="43" spans="1:4" x14ac:dyDescent="0.25">
      <c r="A43" s="8"/>
      <c r="B43" s="8"/>
      <c r="C43" s="8"/>
      <c r="D43" s="3"/>
    </row>
    <row r="44" spans="1:4" x14ac:dyDescent="0.25">
      <c r="A44" s="8"/>
      <c r="B44" s="8"/>
      <c r="C44" s="8"/>
      <c r="D44" s="3"/>
    </row>
    <row r="45" spans="1:4" x14ac:dyDescent="0.25">
      <c r="A45" s="8"/>
      <c r="B45" s="8"/>
      <c r="C45" s="8"/>
      <c r="D45" s="3"/>
    </row>
    <row r="46" spans="1:4" x14ac:dyDescent="0.25">
      <c r="A46" s="8"/>
      <c r="B46" s="8"/>
      <c r="C46" s="8"/>
      <c r="D46" s="3"/>
    </row>
    <row r="47" spans="1:4" x14ac:dyDescent="0.25">
      <c r="A47" s="8"/>
      <c r="B47" s="8"/>
      <c r="C47" s="8"/>
      <c r="D47" s="3"/>
    </row>
    <row r="48" spans="1:4" x14ac:dyDescent="0.25">
      <c r="A48" s="8"/>
      <c r="B48" s="8"/>
      <c r="C48" s="8"/>
      <c r="D48" s="3"/>
    </row>
    <row r="49" spans="1:4" x14ac:dyDescent="0.25">
      <c r="A49" s="8"/>
      <c r="B49" s="8"/>
      <c r="C49" s="8"/>
      <c r="D49" s="3"/>
    </row>
    <row r="50" spans="1:4" x14ac:dyDescent="0.25">
      <c r="A50" s="8"/>
      <c r="B50" s="8"/>
      <c r="C50" s="8"/>
      <c r="D50" s="3"/>
    </row>
    <row r="51" spans="1:4" x14ac:dyDescent="0.25">
      <c r="A51" s="8"/>
      <c r="B51" s="8"/>
      <c r="C51" s="8"/>
      <c r="D51" s="3"/>
    </row>
    <row r="52" spans="1:4" x14ac:dyDescent="0.25">
      <c r="A52" s="8"/>
      <c r="B52" s="8"/>
      <c r="C52" s="8"/>
      <c r="D52" s="3"/>
    </row>
    <row r="53" spans="1:4" x14ac:dyDescent="0.25">
      <c r="A53" s="2"/>
      <c r="B53" s="2"/>
      <c r="C53" s="2"/>
      <c r="D53" s="3"/>
    </row>
    <row r="54" spans="1:4" x14ac:dyDescent="0.25">
      <c r="A54" s="2"/>
      <c r="B54" s="2"/>
      <c r="C54" s="2"/>
      <c r="D54" s="3"/>
    </row>
    <row r="55" spans="1:4" x14ac:dyDescent="0.25">
      <c r="A55" s="2"/>
      <c r="B55" s="2"/>
      <c r="C55" s="2"/>
      <c r="D55" s="3"/>
    </row>
    <row r="56" spans="1:4" x14ac:dyDescent="0.25">
      <c r="A56" s="2"/>
      <c r="B56" s="2"/>
      <c r="C56" s="2"/>
      <c r="D56" s="3"/>
    </row>
    <row r="57" spans="1:4" x14ac:dyDescent="0.25">
      <c r="A57" s="2"/>
      <c r="B57" s="2"/>
      <c r="C57" s="2"/>
      <c r="D57" s="3"/>
    </row>
    <row r="58" spans="1:4" x14ac:dyDescent="0.25">
      <c r="A58" s="2"/>
      <c r="B58" s="2"/>
      <c r="C58" s="2"/>
      <c r="D58" s="3"/>
    </row>
    <row r="59" spans="1:4" x14ac:dyDescent="0.25">
      <c r="A59" s="2"/>
      <c r="B59" s="2"/>
      <c r="C59" s="2"/>
      <c r="D59" s="3"/>
    </row>
    <row r="60" spans="1:4" x14ac:dyDescent="0.25">
      <c r="A60" s="2"/>
      <c r="B60" s="2"/>
      <c r="C60" s="2"/>
      <c r="D60" s="3"/>
    </row>
    <row r="61" spans="1:4" x14ac:dyDescent="0.25">
      <c r="A61" s="2"/>
      <c r="B61" s="2"/>
      <c r="C61" s="2"/>
      <c r="D61" s="3"/>
    </row>
    <row r="62" spans="1:4" x14ac:dyDescent="0.25">
      <c r="A62" s="2"/>
      <c r="B62" s="2"/>
      <c r="C62" s="2"/>
      <c r="D62" s="3"/>
    </row>
    <row r="63" spans="1:4" x14ac:dyDescent="0.25">
      <c r="A63" s="2"/>
      <c r="B63" s="2"/>
      <c r="C63" s="2"/>
      <c r="D63" s="3"/>
    </row>
    <row r="64" spans="1:4" x14ac:dyDescent="0.25">
      <c r="A64" s="2"/>
      <c r="B64" s="2"/>
      <c r="C64" s="2"/>
      <c r="D64" s="3"/>
    </row>
    <row r="65" spans="1:4" x14ac:dyDescent="0.25">
      <c r="A65" s="2"/>
      <c r="B65" s="2"/>
      <c r="C65" s="2"/>
      <c r="D65" s="3"/>
    </row>
    <row r="66" spans="1:4" x14ac:dyDescent="0.25">
      <c r="A66" s="2"/>
      <c r="B66" s="2"/>
      <c r="C66" s="2"/>
      <c r="D66" s="3"/>
    </row>
    <row r="67" spans="1:4" x14ac:dyDescent="0.25">
      <c r="A67" s="2"/>
      <c r="B67" s="2"/>
      <c r="C67" s="2"/>
      <c r="D67" s="3"/>
    </row>
    <row r="68" spans="1:4" x14ac:dyDescent="0.25">
      <c r="A68" s="2"/>
      <c r="B68" s="2"/>
      <c r="C68" s="2"/>
      <c r="D68" s="3"/>
    </row>
    <row r="69" spans="1:4" x14ac:dyDescent="0.25">
      <c r="A69" s="2"/>
      <c r="B69" s="2"/>
      <c r="C69" s="2"/>
      <c r="D69" s="3"/>
    </row>
    <row r="70" spans="1:4" x14ac:dyDescent="0.25">
      <c r="A70" s="2"/>
      <c r="B70" s="2"/>
      <c r="C70" s="2"/>
      <c r="D70" s="3"/>
    </row>
    <row r="71" spans="1:4" x14ac:dyDescent="0.25">
      <c r="A71" s="2"/>
      <c r="B71" s="2"/>
      <c r="C71" s="2"/>
      <c r="D71" s="3"/>
    </row>
    <row r="72" spans="1:4" x14ac:dyDescent="0.25">
      <c r="A72" s="2"/>
      <c r="B72" s="2"/>
      <c r="C72" s="2"/>
      <c r="D72" s="3"/>
    </row>
    <row r="73" spans="1:4" x14ac:dyDescent="0.25">
      <c r="A73" s="2"/>
      <c r="B73" s="2"/>
      <c r="C73" s="2"/>
      <c r="D73" s="3"/>
    </row>
    <row r="74" spans="1:4" x14ac:dyDescent="0.25">
      <c r="A74" s="2"/>
      <c r="B74" s="2"/>
      <c r="C74" s="2"/>
      <c r="D74" s="3"/>
    </row>
    <row r="75" spans="1:4" x14ac:dyDescent="0.25">
      <c r="A75" s="2"/>
      <c r="B75" s="2"/>
      <c r="C75" s="2"/>
      <c r="D75" s="3"/>
    </row>
    <row r="76" spans="1:4" x14ac:dyDescent="0.25">
      <c r="A76" s="2"/>
      <c r="B76" s="2"/>
      <c r="C76" s="2"/>
      <c r="D76" s="3"/>
    </row>
    <row r="77" spans="1:4" x14ac:dyDescent="0.25">
      <c r="A77" s="2"/>
      <c r="B77" s="2"/>
      <c r="C77" s="2"/>
      <c r="D77" s="3"/>
    </row>
    <row r="78" spans="1:4" x14ac:dyDescent="0.25">
      <c r="A78" s="2"/>
      <c r="B78" s="2"/>
      <c r="C78" s="2"/>
      <c r="D78" s="3"/>
    </row>
    <row r="79" spans="1:4" x14ac:dyDescent="0.25">
      <c r="A79" s="2"/>
      <c r="B79" s="2"/>
      <c r="C79" s="2"/>
      <c r="D79" s="3"/>
    </row>
    <row r="80" spans="1:4" x14ac:dyDescent="0.25">
      <c r="A80" s="2"/>
      <c r="B80" s="2"/>
      <c r="C80" s="2"/>
      <c r="D80" s="3"/>
    </row>
    <row r="81" spans="1:4" x14ac:dyDescent="0.25">
      <c r="A81" s="2"/>
      <c r="B81" s="2"/>
      <c r="C81" s="2"/>
      <c r="D81" s="3"/>
    </row>
    <row r="82" spans="1:4" x14ac:dyDescent="0.25">
      <c r="A82" s="2"/>
      <c r="B82" s="2"/>
      <c r="C82" s="2"/>
      <c r="D82" s="3"/>
    </row>
    <row r="83" spans="1:4" x14ac:dyDescent="0.25">
      <c r="A83" s="2"/>
      <c r="B83" s="2"/>
      <c r="C83" s="2"/>
      <c r="D83" s="3"/>
    </row>
    <row r="84" spans="1:4" x14ac:dyDescent="0.25">
      <c r="A84" s="2"/>
      <c r="B84" s="2"/>
      <c r="C84" s="2"/>
      <c r="D84" s="3"/>
    </row>
    <row r="85" spans="1:4" x14ac:dyDescent="0.25">
      <c r="A85" s="2"/>
      <c r="B85" s="2"/>
      <c r="C85" s="2"/>
      <c r="D85" s="3"/>
    </row>
    <row r="86" spans="1:4" x14ac:dyDescent="0.25">
      <c r="A86" s="2"/>
      <c r="B86" s="2"/>
      <c r="C86" s="2"/>
      <c r="D86" s="3"/>
    </row>
    <row r="87" spans="1:4" x14ac:dyDescent="0.25">
      <c r="A87" s="2"/>
      <c r="B87" s="2"/>
      <c r="C87" s="2"/>
      <c r="D87" s="3"/>
    </row>
    <row r="88" spans="1:4" x14ac:dyDescent="0.25">
      <c r="A88" s="2"/>
      <c r="B88" s="2"/>
      <c r="C88" s="2"/>
      <c r="D88" s="3"/>
    </row>
    <row r="89" spans="1:4" x14ac:dyDescent="0.25">
      <c r="A89" s="2"/>
      <c r="B89" s="2"/>
      <c r="C89" s="2"/>
      <c r="D89" s="3"/>
    </row>
    <row r="90" spans="1:4" x14ac:dyDescent="0.25">
      <c r="A90" s="2"/>
      <c r="B90" s="2"/>
      <c r="C90" s="2"/>
      <c r="D90" s="3"/>
    </row>
    <row r="91" spans="1:4" x14ac:dyDescent="0.25">
      <c r="A91" s="2"/>
      <c r="B91" s="2"/>
      <c r="C91" s="2"/>
      <c r="D91" s="3"/>
    </row>
    <row r="92" spans="1:4" x14ac:dyDescent="0.25">
      <c r="A92" s="2"/>
      <c r="B92" s="2"/>
      <c r="C92" s="2"/>
      <c r="D92" s="3"/>
    </row>
    <row r="93" spans="1:4" x14ac:dyDescent="0.25">
      <c r="A93" s="2"/>
      <c r="B93" s="2"/>
      <c r="C93" s="2"/>
      <c r="D93" s="3"/>
    </row>
    <row r="94" spans="1:4" x14ac:dyDescent="0.25">
      <c r="A94" s="2"/>
      <c r="B94" s="2"/>
      <c r="C94" s="2"/>
      <c r="D94" s="3"/>
    </row>
    <row r="95" spans="1:4" x14ac:dyDescent="0.25">
      <c r="A95" s="2"/>
      <c r="B95" s="2"/>
      <c r="C95" s="2"/>
      <c r="D95" s="3"/>
    </row>
    <row r="96" spans="1:4" x14ac:dyDescent="0.25">
      <c r="A96" s="2"/>
      <c r="B96" s="2"/>
      <c r="C96" s="2"/>
      <c r="D96" s="3"/>
    </row>
    <row r="97" spans="1:21" x14ac:dyDescent="0.25">
      <c r="A97" s="2"/>
      <c r="B97" s="2"/>
      <c r="C97" s="2"/>
      <c r="D97" s="3"/>
    </row>
    <row r="98" spans="1:21" x14ac:dyDescent="0.25">
      <c r="A98" s="2"/>
      <c r="B98" s="2"/>
      <c r="C98" s="2"/>
      <c r="D98" s="3"/>
    </row>
    <row r="99" spans="1:21" x14ac:dyDescent="0.25">
      <c r="A99" s="2"/>
      <c r="B99" s="2"/>
      <c r="C99" s="2"/>
      <c r="D99" s="3"/>
    </row>
    <row r="100" spans="1:21" x14ac:dyDescent="0.25">
      <c r="A100" s="2"/>
      <c r="B100" s="2"/>
      <c r="C100" s="2"/>
      <c r="D100" s="3"/>
    </row>
    <row r="101" spans="1:21" x14ac:dyDescent="0.25">
      <c r="A101" s="2"/>
      <c r="B101" s="2"/>
      <c r="C101" s="2"/>
      <c r="D101" s="3"/>
    </row>
    <row r="102" spans="1:21" s="11" customFormat="1" x14ac:dyDescent="0.25">
      <c r="A102" s="18"/>
      <c r="B102" s="18"/>
      <c r="C102" s="18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s="11" customFormat="1" x14ac:dyDescent="0.25">
      <c r="A103" s="18"/>
      <c r="B103" s="18"/>
      <c r="C103" s="18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s="11" customFormat="1" x14ac:dyDescent="0.25">
      <c r="A104" s="18"/>
      <c r="B104" s="18"/>
      <c r="C104" s="18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s="11" customFormat="1" x14ac:dyDescent="0.25">
      <c r="A105" s="18"/>
      <c r="B105" s="18"/>
      <c r="C105" s="18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s="11" customFormat="1" x14ac:dyDescent="0.25">
      <c r="A106" s="18"/>
      <c r="B106" s="18"/>
      <c r="C106" s="18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s="11" customFormat="1" x14ac:dyDescent="0.25">
      <c r="A107" s="18"/>
      <c r="B107" s="18"/>
      <c r="C107" s="18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s="11" customFormat="1" x14ac:dyDescent="0.25">
      <c r="A108" s="18"/>
      <c r="B108" s="18"/>
      <c r="C108" s="1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s="11" customFormat="1" x14ac:dyDescent="0.25">
      <c r="A109" s="18"/>
      <c r="B109" s="18"/>
      <c r="C109" s="18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s="11" customFormat="1" x14ac:dyDescent="0.25">
      <c r="A110" s="18"/>
      <c r="B110" s="18"/>
      <c r="C110" s="18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s="11" customFormat="1" x14ac:dyDescent="0.25">
      <c r="A111" s="18"/>
      <c r="B111" s="18"/>
      <c r="C111" s="1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s="11" customFormat="1" x14ac:dyDescent="0.25">
      <c r="A112" s="18"/>
      <c r="B112" s="18"/>
      <c r="C112" s="18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s="11" customFormat="1" x14ac:dyDescent="0.25">
      <c r="A113" s="18"/>
      <c r="B113" s="18"/>
      <c r="C113" s="18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s="11" customFormat="1" x14ac:dyDescent="0.25">
      <c r="A114" s="18"/>
      <c r="B114" s="18"/>
      <c r="C114" s="18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s="11" customFormat="1" x14ac:dyDescent="0.25">
      <c r="A115" s="18"/>
      <c r="B115" s="18"/>
      <c r="C115" s="18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s="11" customFormat="1" x14ac:dyDescent="0.25">
      <c r="A116" s="18"/>
      <c r="B116" s="18"/>
      <c r="C116" s="18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s="11" customFormat="1" x14ac:dyDescent="0.25">
      <c r="A117" s="18"/>
      <c r="B117" s="18"/>
      <c r="C117" s="18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s="11" customFormat="1" x14ac:dyDescent="0.25">
      <c r="A118" s="18"/>
      <c r="B118" s="18"/>
      <c r="C118" s="18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s="11" customFormat="1" x14ac:dyDescent="0.25">
      <c r="A119" s="18"/>
      <c r="B119" s="18"/>
      <c r="C119" s="18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s="11" customFormat="1" x14ac:dyDescent="0.25">
      <c r="A120" s="18"/>
      <c r="B120" s="18"/>
      <c r="C120" s="18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s="11" customFormat="1" x14ac:dyDescent="0.25">
      <c r="A121" s="18"/>
      <c r="B121" s="18"/>
      <c r="C121" s="18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s="11" customFormat="1" x14ac:dyDescent="0.25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s="11" customFormat="1" x14ac:dyDescent="0.25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s="11" customFormat="1" x14ac:dyDescent="0.25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s="11" customFormat="1" x14ac:dyDescent="0.25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s="11" customFormat="1" x14ac:dyDescent="0.25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s="11" customFormat="1" x14ac:dyDescent="0.25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s="11" customFormat="1" x14ac:dyDescent="0.25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5:21" s="11" customFormat="1" x14ac:dyDescent="0.25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5:21" s="11" customFormat="1" x14ac:dyDescent="0.25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5:21" s="11" customFormat="1" x14ac:dyDescent="0.25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5:21" s="11" customFormat="1" x14ac:dyDescent="0.25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5:21" s="11" customFormat="1" x14ac:dyDescent="0.25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5:21" s="11" customFormat="1" x14ac:dyDescent="0.25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5:21" s="11" customFormat="1" x14ac:dyDescent="0.25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5:21" s="11" customFormat="1" x14ac:dyDescent="0.25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5:21" s="11" customFormat="1" x14ac:dyDescent="0.25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5:21" s="11" customFormat="1" x14ac:dyDescent="0.25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5:21" s="11" customFormat="1" x14ac:dyDescent="0.25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5:21" s="11" customFormat="1" x14ac:dyDescent="0.25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5:21" s="11" customFormat="1" x14ac:dyDescent="0.25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5:21" s="11" customFormat="1" x14ac:dyDescent="0.25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5:21" s="11" customFormat="1" x14ac:dyDescent="0.25"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5:21" s="11" customFormat="1" x14ac:dyDescent="0.25"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5:21" s="11" customFormat="1" x14ac:dyDescent="0.25"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5:21" s="11" customFormat="1" x14ac:dyDescent="0.25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5:21" s="11" customFormat="1" x14ac:dyDescent="0.25"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5:21" s="11" customFormat="1" x14ac:dyDescent="0.25"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5:21" s="11" customFormat="1" x14ac:dyDescent="0.25"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5:21" s="11" customFormat="1" x14ac:dyDescent="0.25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5:21" s="11" customFormat="1" x14ac:dyDescent="0.25"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5:21" s="11" customFormat="1" x14ac:dyDescent="0.25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5:21" s="11" customFormat="1" x14ac:dyDescent="0.25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5:21" s="11" customFormat="1" x14ac:dyDescent="0.25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5:21" s="11" customFormat="1" x14ac:dyDescent="0.25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5:21" s="11" customFormat="1" x14ac:dyDescent="0.25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5:21" s="11" customFormat="1" x14ac:dyDescent="0.25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5:21" s="11" customFormat="1" x14ac:dyDescent="0.25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5:21" s="11" customFormat="1" x14ac:dyDescent="0.25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5:21" s="11" customFormat="1" x14ac:dyDescent="0.25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5:21" s="11" customFormat="1" x14ac:dyDescent="0.25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5:21" s="11" customFormat="1" x14ac:dyDescent="0.25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5:21" s="11" customFormat="1" x14ac:dyDescent="0.25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5:21" s="11" customFormat="1" x14ac:dyDescent="0.25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5:21" s="11" customFormat="1" x14ac:dyDescent="0.25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5:21" s="11" customFormat="1" x14ac:dyDescent="0.25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5:21" s="11" customFormat="1" x14ac:dyDescent="0.25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5:21" s="11" customFormat="1" x14ac:dyDescent="0.25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5:21" s="11" customFormat="1" x14ac:dyDescent="0.25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5:21" s="11" customFormat="1" x14ac:dyDescent="0.25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5:21" s="11" customFormat="1" x14ac:dyDescent="0.25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5:21" s="11" customFormat="1" x14ac:dyDescent="0.25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5:21" s="11" customFormat="1" x14ac:dyDescent="0.25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5:21" s="11" customFormat="1" x14ac:dyDescent="0.25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5:21" s="11" customFormat="1" x14ac:dyDescent="0.25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5:21" s="11" customFormat="1" x14ac:dyDescent="0.25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5:21" s="11" customFormat="1" x14ac:dyDescent="0.25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5:21" s="11" customFormat="1" x14ac:dyDescent="0.25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5:21" s="11" customFormat="1" x14ac:dyDescent="0.25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5:21" s="11" customFormat="1" x14ac:dyDescent="0.25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5:21" s="11" customFormat="1" x14ac:dyDescent="0.25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5:21" s="11" customFormat="1" x14ac:dyDescent="0.25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5:21" s="11" customFormat="1" x14ac:dyDescent="0.25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5:21" s="11" customFormat="1" x14ac:dyDescent="0.25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5:21" s="11" customFormat="1" x14ac:dyDescent="0.25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5:21" s="11" customFormat="1" x14ac:dyDescent="0.25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5:21" s="11" customFormat="1" x14ac:dyDescent="0.25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5:21" s="11" customFormat="1" x14ac:dyDescent="0.25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5:21" s="11" customFormat="1" x14ac:dyDescent="0.25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5:21" s="11" customFormat="1" x14ac:dyDescent="0.25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5:21" s="11" customFormat="1" x14ac:dyDescent="0.25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5:21" s="11" customFormat="1" x14ac:dyDescent="0.25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5:21" s="11" customFormat="1" x14ac:dyDescent="0.25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5:21" s="11" customFormat="1" x14ac:dyDescent="0.25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5:21" s="11" customFormat="1" x14ac:dyDescent="0.25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5:21" s="11" customFormat="1" x14ac:dyDescent="0.25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5:21" s="11" customFormat="1" x14ac:dyDescent="0.25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5:21" s="11" customFormat="1" x14ac:dyDescent="0.25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5:21" s="11" customFormat="1" x14ac:dyDescent="0.25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5:21" s="11" customFormat="1" x14ac:dyDescent="0.25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5:21" s="11" customFormat="1" x14ac:dyDescent="0.25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5:21" s="11" customFormat="1" x14ac:dyDescent="0.25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5:21" s="11" customFormat="1" x14ac:dyDescent="0.25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5:21" s="11" customFormat="1" x14ac:dyDescent="0.25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5:21" s="11" customFormat="1" x14ac:dyDescent="0.25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5:21" s="11" customFormat="1" x14ac:dyDescent="0.25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5:21" s="11" customFormat="1" x14ac:dyDescent="0.25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5:21" s="11" customFormat="1" x14ac:dyDescent="0.25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5:21" s="11" customFormat="1" x14ac:dyDescent="0.25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5:21" s="11" customFormat="1" x14ac:dyDescent="0.25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5:21" s="11" customFormat="1" x14ac:dyDescent="0.25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5:21" s="11" customFormat="1" x14ac:dyDescent="0.25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5:21" s="11" customFormat="1" x14ac:dyDescent="0.25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5:21" s="11" customFormat="1" x14ac:dyDescent="0.25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5:21" s="11" customFormat="1" x14ac:dyDescent="0.25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5:21" s="11" customFormat="1" x14ac:dyDescent="0.25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5:21" s="11" customFormat="1" x14ac:dyDescent="0.25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5:21" s="11" customFormat="1" x14ac:dyDescent="0.25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5:21" s="11" customFormat="1" x14ac:dyDescent="0.25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5:21" s="11" customFormat="1" x14ac:dyDescent="0.25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5:21" s="11" customFormat="1" x14ac:dyDescent="0.25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5:21" s="11" customFormat="1" x14ac:dyDescent="0.25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5:21" s="11" customFormat="1" x14ac:dyDescent="0.25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5:21" s="11" customFormat="1" x14ac:dyDescent="0.25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5:21" s="11" customFormat="1" x14ac:dyDescent="0.25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5:21" s="11" customFormat="1" x14ac:dyDescent="0.25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5:21" s="11" customFormat="1" x14ac:dyDescent="0.25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5:21" s="11" customFormat="1" x14ac:dyDescent="0.25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5:21" s="11" customFormat="1" x14ac:dyDescent="0.25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5:21" s="11" customFormat="1" x14ac:dyDescent="0.25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5:21" s="11" customFormat="1" x14ac:dyDescent="0.25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5:21" s="11" customFormat="1" x14ac:dyDescent="0.25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5:21" s="11" customFormat="1" x14ac:dyDescent="0.25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5:21" s="11" customFormat="1" x14ac:dyDescent="0.25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5:21" s="11" customFormat="1" x14ac:dyDescent="0.25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5:21" s="11" customFormat="1" x14ac:dyDescent="0.25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5:21" s="11" customFormat="1" x14ac:dyDescent="0.25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5:21" s="11" customFormat="1" x14ac:dyDescent="0.25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5:21" s="11" customFormat="1" x14ac:dyDescent="0.25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5:21" s="11" customFormat="1" x14ac:dyDescent="0.25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5:21" s="11" customFormat="1" x14ac:dyDescent="0.25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5:21" s="11" customFormat="1" x14ac:dyDescent="0.25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5:21" s="11" customFormat="1" x14ac:dyDescent="0.25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5:21" s="11" customFormat="1" x14ac:dyDescent="0.25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5:21" s="11" customFormat="1" x14ac:dyDescent="0.25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5:21" s="11" customFormat="1" x14ac:dyDescent="0.25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5:21" s="11" customFormat="1" x14ac:dyDescent="0.25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5:21" s="11" customFormat="1" x14ac:dyDescent="0.25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5:21" s="11" customFormat="1" x14ac:dyDescent="0.25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5:21" s="11" customFormat="1" x14ac:dyDescent="0.25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5:21" s="11" customFormat="1" x14ac:dyDescent="0.25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5:21" s="11" customFormat="1" x14ac:dyDescent="0.25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5:21" s="11" customFormat="1" x14ac:dyDescent="0.25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5:21" s="11" customFormat="1" x14ac:dyDescent="0.25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5:21" s="11" customFormat="1" x14ac:dyDescent="0.25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5:21" s="11" customFormat="1" x14ac:dyDescent="0.25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5:21" s="11" customFormat="1" x14ac:dyDescent="0.25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5:21" s="11" customFormat="1" x14ac:dyDescent="0.25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5:21" s="11" customFormat="1" x14ac:dyDescent="0.25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5:21" s="11" customFormat="1" x14ac:dyDescent="0.25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5:21" s="11" customFormat="1" x14ac:dyDescent="0.25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5:21" s="11" customFormat="1" x14ac:dyDescent="0.25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5:21" s="11" customFormat="1" x14ac:dyDescent="0.25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5:21" s="11" customFormat="1" x14ac:dyDescent="0.25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5:21" s="11" customFormat="1" x14ac:dyDescent="0.25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5:21" s="11" customFormat="1" x14ac:dyDescent="0.25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5:21" s="11" customFormat="1" x14ac:dyDescent="0.25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5:21" s="11" customFormat="1" x14ac:dyDescent="0.25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5:21" s="11" customFormat="1" x14ac:dyDescent="0.25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5:21" s="11" customFormat="1" x14ac:dyDescent="0.25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5:21" s="11" customFormat="1" x14ac:dyDescent="0.25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5:21" s="11" customFormat="1" x14ac:dyDescent="0.25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5:21" s="11" customFormat="1" x14ac:dyDescent="0.25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5:21" s="11" customFormat="1" x14ac:dyDescent="0.25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5:21" s="11" customFormat="1" x14ac:dyDescent="0.25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5:21" s="11" customFormat="1" x14ac:dyDescent="0.25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5:21" s="11" customFormat="1" x14ac:dyDescent="0.25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5:21" s="11" customFormat="1" x14ac:dyDescent="0.25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5:21" s="11" customFormat="1" x14ac:dyDescent="0.25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5:21" s="11" customFormat="1" x14ac:dyDescent="0.25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5:21" s="11" customFormat="1" x14ac:dyDescent="0.25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5:21" s="11" customFormat="1" x14ac:dyDescent="0.25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5:21" s="11" customFormat="1" x14ac:dyDescent="0.25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5:21" s="11" customFormat="1" x14ac:dyDescent="0.25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5:21" s="11" customFormat="1" x14ac:dyDescent="0.25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5:21" s="11" customFormat="1" x14ac:dyDescent="0.25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5:21" s="11" customFormat="1" x14ac:dyDescent="0.25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5:21" s="11" customFormat="1" x14ac:dyDescent="0.25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5:21" s="11" customFormat="1" x14ac:dyDescent="0.25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5:21" s="11" customFormat="1" x14ac:dyDescent="0.25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5:21" s="11" customFormat="1" x14ac:dyDescent="0.25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5:21" s="11" customFormat="1" x14ac:dyDescent="0.25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5:21" s="11" customFormat="1" x14ac:dyDescent="0.25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5:21" s="11" customFormat="1" x14ac:dyDescent="0.25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5:21" s="11" customFormat="1" x14ac:dyDescent="0.25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5:21" s="11" customFormat="1" x14ac:dyDescent="0.25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5:21" s="11" customFormat="1" x14ac:dyDescent="0.25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5:21" s="11" customFormat="1" x14ac:dyDescent="0.25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5:21" s="11" customFormat="1" x14ac:dyDescent="0.25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5:21" s="11" customFormat="1" x14ac:dyDescent="0.25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5:21" s="11" customFormat="1" x14ac:dyDescent="0.25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5:21" s="11" customFormat="1" x14ac:dyDescent="0.25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5:21" s="11" customFormat="1" x14ac:dyDescent="0.25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5:21" s="11" customFormat="1" x14ac:dyDescent="0.25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5:21" s="11" customFormat="1" x14ac:dyDescent="0.25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5:21" s="11" customFormat="1" x14ac:dyDescent="0.25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5:21" s="11" customFormat="1" x14ac:dyDescent="0.25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5:21" s="11" customFormat="1" x14ac:dyDescent="0.25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5:21" s="11" customFormat="1" x14ac:dyDescent="0.25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5:21" s="11" customFormat="1" x14ac:dyDescent="0.25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5:21" s="11" customFormat="1" x14ac:dyDescent="0.25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5:21" s="11" customFormat="1" x14ac:dyDescent="0.25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5:21" s="11" customFormat="1" x14ac:dyDescent="0.25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5:21" s="11" customFormat="1" x14ac:dyDescent="0.25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5:21" s="11" customFormat="1" x14ac:dyDescent="0.25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5:21" s="11" customFormat="1" x14ac:dyDescent="0.25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5:21" s="11" customFormat="1" x14ac:dyDescent="0.25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5:21" s="11" customFormat="1" x14ac:dyDescent="0.25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5:21" s="11" customFormat="1" x14ac:dyDescent="0.25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5:21" s="11" customFormat="1" x14ac:dyDescent="0.25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5:21" s="11" customFormat="1" x14ac:dyDescent="0.25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5:21" s="11" customFormat="1" x14ac:dyDescent="0.25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5:21" s="11" customFormat="1" x14ac:dyDescent="0.25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5:21" s="11" customFormat="1" x14ac:dyDescent="0.25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5:21" s="11" customFormat="1" x14ac:dyDescent="0.25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5:21" s="11" customFormat="1" x14ac:dyDescent="0.25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5:21" s="11" customFormat="1" x14ac:dyDescent="0.25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5:21" s="11" customFormat="1" x14ac:dyDescent="0.25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5:21" s="11" customFormat="1" x14ac:dyDescent="0.25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5:21" s="11" customFormat="1" x14ac:dyDescent="0.25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5:21" s="11" customFormat="1" x14ac:dyDescent="0.25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5:21" s="11" customFormat="1" x14ac:dyDescent="0.25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5:21" s="11" customFormat="1" x14ac:dyDescent="0.25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5:21" s="11" customFormat="1" x14ac:dyDescent="0.25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5:21" s="11" customFormat="1" x14ac:dyDescent="0.25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5:21" s="11" customFormat="1" x14ac:dyDescent="0.25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5:21" s="11" customFormat="1" x14ac:dyDescent="0.25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5:21" s="11" customFormat="1" x14ac:dyDescent="0.25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5:21" s="11" customFormat="1" x14ac:dyDescent="0.25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5:21" s="11" customFormat="1" x14ac:dyDescent="0.25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5:21" s="11" customFormat="1" x14ac:dyDescent="0.25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5:21" s="11" customFormat="1" x14ac:dyDescent="0.25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5:21" s="11" customFormat="1" x14ac:dyDescent="0.25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5:21" s="11" customFormat="1" x14ac:dyDescent="0.25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5:21" s="11" customFormat="1" x14ac:dyDescent="0.25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5:21" s="11" customFormat="1" x14ac:dyDescent="0.25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5:21" s="11" customFormat="1" x14ac:dyDescent="0.25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5:21" s="11" customFormat="1" x14ac:dyDescent="0.25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5:21" s="11" customFormat="1" x14ac:dyDescent="0.25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5:21" s="11" customFormat="1" x14ac:dyDescent="0.25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5:21" s="11" customFormat="1" x14ac:dyDescent="0.25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5:21" s="11" customFormat="1" x14ac:dyDescent="0.25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5:21" s="11" customFormat="1" x14ac:dyDescent="0.25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5:21" s="11" customFormat="1" x14ac:dyDescent="0.25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5:21" s="11" customFormat="1" x14ac:dyDescent="0.25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5:21" s="11" customFormat="1" x14ac:dyDescent="0.25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5:21" s="11" customFormat="1" x14ac:dyDescent="0.25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5:21" s="11" customFormat="1" x14ac:dyDescent="0.25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5:21" s="11" customFormat="1" x14ac:dyDescent="0.25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5:21" s="11" customFormat="1" x14ac:dyDescent="0.25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5:21" s="11" customFormat="1" x14ac:dyDescent="0.25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5:21" s="11" customFormat="1" x14ac:dyDescent="0.25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5:21" s="11" customFormat="1" x14ac:dyDescent="0.25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5:21" s="11" customFormat="1" x14ac:dyDescent="0.25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5:21" s="11" customFormat="1" x14ac:dyDescent="0.25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5:21" s="11" customFormat="1" x14ac:dyDescent="0.25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5:21" s="11" customFormat="1" x14ac:dyDescent="0.25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5:21" s="11" customFormat="1" x14ac:dyDescent="0.25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5:21" s="11" customFormat="1" x14ac:dyDescent="0.25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5:21" s="11" customFormat="1" x14ac:dyDescent="0.25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5:21" s="11" customFormat="1" x14ac:dyDescent="0.25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5:21" s="11" customFormat="1" x14ac:dyDescent="0.25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5:21" s="11" customFormat="1" x14ac:dyDescent="0.25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5:21" s="11" customFormat="1" x14ac:dyDescent="0.25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5:21" s="11" customFormat="1" x14ac:dyDescent="0.25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5:21" s="11" customFormat="1" x14ac:dyDescent="0.25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5:21" s="11" customFormat="1" x14ac:dyDescent="0.25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5:21" s="11" customFormat="1" x14ac:dyDescent="0.25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5:21" s="11" customFormat="1" x14ac:dyDescent="0.25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5:21" s="11" customFormat="1" x14ac:dyDescent="0.25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5:21" s="11" customFormat="1" x14ac:dyDescent="0.25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5:21" s="11" customFormat="1" x14ac:dyDescent="0.25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5:21" s="11" customFormat="1" x14ac:dyDescent="0.25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5:21" s="11" customFormat="1" x14ac:dyDescent="0.25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5:21" s="11" customFormat="1" x14ac:dyDescent="0.25"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5:21" s="11" customFormat="1" x14ac:dyDescent="0.25"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5:21" s="11" customFormat="1" x14ac:dyDescent="0.25"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5:21" s="11" customFormat="1" x14ac:dyDescent="0.25"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5:21" s="11" customFormat="1" x14ac:dyDescent="0.25"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5:21" s="11" customFormat="1" x14ac:dyDescent="0.25"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5:21" s="11" customFormat="1" x14ac:dyDescent="0.25"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5:21" s="11" customFormat="1" x14ac:dyDescent="0.25"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5:21" s="11" customFormat="1" x14ac:dyDescent="0.25"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5:21" s="11" customFormat="1" x14ac:dyDescent="0.25"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5:21" s="11" customFormat="1" x14ac:dyDescent="0.25"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5:21" s="11" customFormat="1" x14ac:dyDescent="0.25"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5:21" s="11" customFormat="1" x14ac:dyDescent="0.25"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5:21" s="11" customFormat="1" x14ac:dyDescent="0.25"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5:21" s="11" customFormat="1" x14ac:dyDescent="0.25"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5:21" s="11" customFormat="1" x14ac:dyDescent="0.25"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5:21" s="11" customFormat="1" x14ac:dyDescent="0.25"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5:21" s="11" customFormat="1" x14ac:dyDescent="0.25"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5:21" s="11" customFormat="1" x14ac:dyDescent="0.25"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5:21" s="11" customFormat="1" x14ac:dyDescent="0.25"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5:21" s="11" customFormat="1" x14ac:dyDescent="0.25"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5:21" s="11" customFormat="1" x14ac:dyDescent="0.25"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5:21" s="11" customFormat="1" x14ac:dyDescent="0.25"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5:21" s="11" customFormat="1" x14ac:dyDescent="0.25"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5:21" s="11" customFormat="1" x14ac:dyDescent="0.25"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5:21" s="11" customFormat="1" x14ac:dyDescent="0.25"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5:21" s="11" customFormat="1" x14ac:dyDescent="0.25"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5:21" s="11" customFormat="1" x14ac:dyDescent="0.25"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5:21" s="11" customFormat="1" x14ac:dyDescent="0.25"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5:21" s="11" customFormat="1" x14ac:dyDescent="0.25"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5:21" s="11" customFormat="1" x14ac:dyDescent="0.25"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5:21" s="11" customFormat="1" x14ac:dyDescent="0.25"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5:21" s="11" customFormat="1" x14ac:dyDescent="0.25"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5:21" s="11" customFormat="1" x14ac:dyDescent="0.25"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5:21" s="11" customFormat="1" x14ac:dyDescent="0.25"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5:21" s="11" customFormat="1" x14ac:dyDescent="0.25"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5:21" s="11" customFormat="1" x14ac:dyDescent="0.25"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5:21" s="11" customFormat="1" x14ac:dyDescent="0.25"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5:21" s="11" customFormat="1" x14ac:dyDescent="0.25"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5:21" s="11" customFormat="1" x14ac:dyDescent="0.25"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5:21" s="11" customFormat="1" x14ac:dyDescent="0.25"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5:21" s="11" customFormat="1" x14ac:dyDescent="0.25"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5:21" s="11" customFormat="1" x14ac:dyDescent="0.25"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5:21" s="11" customFormat="1" x14ac:dyDescent="0.25"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5:21" s="11" customFormat="1" x14ac:dyDescent="0.25"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5:21" s="11" customFormat="1" x14ac:dyDescent="0.25"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5:21" s="11" customFormat="1" x14ac:dyDescent="0.25"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5:21" s="11" customFormat="1" x14ac:dyDescent="0.25"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5:21" s="11" customFormat="1" x14ac:dyDescent="0.25"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5:21" s="11" customFormat="1" x14ac:dyDescent="0.25"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5:21" s="11" customFormat="1" x14ac:dyDescent="0.25"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5:21" s="11" customFormat="1" x14ac:dyDescent="0.25"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5:21" s="11" customFormat="1" x14ac:dyDescent="0.25"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5:21" s="11" customFormat="1" x14ac:dyDescent="0.25"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5:21" s="11" customFormat="1" x14ac:dyDescent="0.25"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5:21" s="11" customFormat="1" x14ac:dyDescent="0.25"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5:21" s="11" customFormat="1" x14ac:dyDescent="0.25"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5:21" s="11" customFormat="1" x14ac:dyDescent="0.25"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5:21" s="11" customFormat="1" x14ac:dyDescent="0.25"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5:21" s="11" customFormat="1" x14ac:dyDescent="0.25"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5:21" s="11" customFormat="1" x14ac:dyDescent="0.25"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5:21" s="11" customFormat="1" x14ac:dyDescent="0.25"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5:21" s="11" customFormat="1" x14ac:dyDescent="0.25"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5:21" s="11" customFormat="1" x14ac:dyDescent="0.25"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5:21" s="11" customFormat="1" x14ac:dyDescent="0.25"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5:21" s="11" customFormat="1" x14ac:dyDescent="0.25"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5:21" s="11" customFormat="1" x14ac:dyDescent="0.25"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5:21" s="11" customFormat="1" x14ac:dyDescent="0.25"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5:21" s="11" customFormat="1" x14ac:dyDescent="0.25"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5:21" s="11" customFormat="1" x14ac:dyDescent="0.25"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5:21" s="11" customFormat="1" x14ac:dyDescent="0.25"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5:21" s="11" customFormat="1" x14ac:dyDescent="0.25"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5:21" s="11" customFormat="1" x14ac:dyDescent="0.25"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5:21" s="11" customFormat="1" x14ac:dyDescent="0.25"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</sheetData>
  <mergeCells count="1">
    <mergeCell ref="A1:C1"/>
  </mergeCells>
  <dataValidations count="2">
    <dataValidation type="list" allowBlank="1" showInputMessage="1" showErrorMessage="1" error="Veuillez saisir un N° de visite compris entre 1 et 14" sqref="B6:B121">
      <formula1>$K$5:$K$18</formula1>
    </dataValidation>
    <dataValidation type="list" allowBlank="1" showInputMessage="1" showErrorMessage="1" error="Veuillez saisir un nombre de visiteurs compris entre 1 et 5" sqref="C6:C121">
      <formula1>$L$5:$L$9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2" workbookViewId="0">
      <selection activeCell="G46" sqref="G46"/>
    </sheetView>
  </sheetViews>
  <sheetFormatPr baseColWidth="10" defaultRowHeight="15" x14ac:dyDescent="0.25"/>
  <cols>
    <col min="1" max="1" width="26.140625" style="12" bestFit="1" customWidth="1"/>
    <col min="2" max="2" width="7.85546875" style="12" customWidth="1"/>
    <col min="3" max="3" width="26.7109375" style="12" bestFit="1" customWidth="1"/>
    <col min="4" max="4" width="7.85546875" style="12" customWidth="1"/>
    <col min="5" max="5" width="4" style="12" bestFit="1" customWidth="1"/>
    <col min="7" max="7" width="4.7109375" style="12" bestFit="1" customWidth="1"/>
  </cols>
  <sheetData>
    <row r="1" spans="1:7" x14ac:dyDescent="0.25">
      <c r="A1" s="12" t="s">
        <v>56</v>
      </c>
      <c r="C1" s="12" t="s">
        <v>55</v>
      </c>
      <c r="E1" s="13" t="s">
        <v>0</v>
      </c>
      <c r="G1" s="13" t="s">
        <v>13</v>
      </c>
    </row>
    <row r="2" spans="1:7" x14ac:dyDescent="0.25">
      <c r="A2" s="14" t="s">
        <v>20</v>
      </c>
      <c r="C2" s="13" t="s">
        <v>36</v>
      </c>
      <c r="E2" s="13">
        <v>1</v>
      </c>
      <c r="G2" s="13">
        <v>1</v>
      </c>
    </row>
    <row r="3" spans="1:7" x14ac:dyDescent="0.25">
      <c r="A3" s="13" t="s">
        <v>51</v>
      </c>
      <c r="C3" s="13" t="s">
        <v>54</v>
      </c>
      <c r="E3" s="13">
        <v>2</v>
      </c>
      <c r="G3" s="13">
        <v>2</v>
      </c>
    </row>
    <row r="4" spans="1:7" x14ac:dyDescent="0.25">
      <c r="A4" s="14" t="s">
        <v>30</v>
      </c>
      <c r="C4" s="13" t="s">
        <v>58</v>
      </c>
      <c r="E4" s="13">
        <v>3</v>
      </c>
      <c r="G4" s="13">
        <v>3</v>
      </c>
    </row>
    <row r="5" spans="1:7" x14ac:dyDescent="0.25">
      <c r="A5" s="14" t="s">
        <v>25</v>
      </c>
      <c r="C5" s="13" t="s">
        <v>57</v>
      </c>
      <c r="E5" s="13">
        <v>4</v>
      </c>
      <c r="G5" s="13">
        <v>4</v>
      </c>
    </row>
    <row r="6" spans="1:7" x14ac:dyDescent="0.25">
      <c r="A6" s="12" t="s">
        <v>59</v>
      </c>
      <c r="E6" s="13">
        <v>5</v>
      </c>
      <c r="G6" s="13">
        <v>5</v>
      </c>
    </row>
    <row r="7" spans="1:7" x14ac:dyDescent="0.25">
      <c r="A7" s="14" t="s">
        <v>33</v>
      </c>
      <c r="E7" s="13">
        <v>6</v>
      </c>
      <c r="G7" s="13">
        <v>6</v>
      </c>
    </row>
    <row r="8" spans="1:7" x14ac:dyDescent="0.25">
      <c r="A8" s="14" t="s">
        <v>35</v>
      </c>
      <c r="E8" s="13"/>
      <c r="G8" s="13">
        <v>7</v>
      </c>
    </row>
    <row r="9" spans="1:7" x14ac:dyDescent="0.25">
      <c r="A9" s="14" t="s">
        <v>29</v>
      </c>
      <c r="E9" s="13"/>
      <c r="G9" s="13">
        <v>8</v>
      </c>
    </row>
    <row r="10" spans="1:7" x14ac:dyDescent="0.25">
      <c r="A10" s="14" t="s">
        <v>19</v>
      </c>
      <c r="E10" s="13"/>
      <c r="G10" s="13">
        <v>9</v>
      </c>
    </row>
    <row r="11" spans="1:7" x14ac:dyDescent="0.25">
      <c r="A11" s="14" t="s">
        <v>24</v>
      </c>
      <c r="E11" s="13"/>
      <c r="G11" s="13">
        <v>10</v>
      </c>
    </row>
    <row r="12" spans="1:7" x14ac:dyDescent="0.25">
      <c r="A12" s="14" t="s">
        <v>32</v>
      </c>
      <c r="E12" s="13"/>
      <c r="G12" s="13">
        <v>11</v>
      </c>
    </row>
    <row r="13" spans="1:7" x14ac:dyDescent="0.25">
      <c r="A13" s="14" t="s">
        <v>23</v>
      </c>
      <c r="E13" s="13"/>
      <c r="G13" s="13">
        <v>12</v>
      </c>
    </row>
    <row r="14" spans="1:7" x14ac:dyDescent="0.25">
      <c r="A14" s="14" t="s">
        <v>34</v>
      </c>
      <c r="E14" s="13"/>
      <c r="G14" s="13">
        <v>13</v>
      </c>
    </row>
    <row r="15" spans="1:7" x14ac:dyDescent="0.25">
      <c r="A15" s="14" t="s">
        <v>22</v>
      </c>
      <c r="E15" s="13"/>
      <c r="G15" s="13">
        <v>14</v>
      </c>
    </row>
    <row r="16" spans="1:7" x14ac:dyDescent="0.25">
      <c r="A16" s="14" t="s">
        <v>28</v>
      </c>
      <c r="E16" s="13"/>
      <c r="G16" s="13">
        <v>15</v>
      </c>
    </row>
    <row r="17" spans="1:7" x14ac:dyDescent="0.25">
      <c r="A17" s="14" t="s">
        <v>27</v>
      </c>
      <c r="E17" s="13"/>
      <c r="G17" s="13">
        <v>16</v>
      </c>
    </row>
    <row r="18" spans="1:7" x14ac:dyDescent="0.25">
      <c r="A18" s="14" t="s">
        <v>26</v>
      </c>
      <c r="E18" s="13"/>
      <c r="G18" s="13">
        <v>17</v>
      </c>
    </row>
    <row r="19" spans="1:7" x14ac:dyDescent="0.25">
      <c r="A19" s="14" t="s">
        <v>31</v>
      </c>
      <c r="E19" s="13"/>
      <c r="G19" s="13">
        <v>18</v>
      </c>
    </row>
    <row r="20" spans="1:7" x14ac:dyDescent="0.25">
      <c r="A20" s="14" t="s">
        <v>21</v>
      </c>
      <c r="E20" s="13"/>
      <c r="G20" s="13">
        <v>19</v>
      </c>
    </row>
    <row r="21" spans="1:7" x14ac:dyDescent="0.25">
      <c r="E21" s="13"/>
      <c r="G21" s="13">
        <v>20</v>
      </c>
    </row>
    <row r="22" spans="1:7" x14ac:dyDescent="0.25">
      <c r="E22" s="13"/>
      <c r="G22" s="13">
        <v>21</v>
      </c>
    </row>
    <row r="23" spans="1:7" x14ac:dyDescent="0.25">
      <c r="E23" s="13"/>
      <c r="G23" s="13">
        <v>22</v>
      </c>
    </row>
    <row r="24" spans="1:7" x14ac:dyDescent="0.25">
      <c r="E24" s="13"/>
      <c r="G24" s="13">
        <v>23</v>
      </c>
    </row>
    <row r="25" spans="1:7" x14ac:dyDescent="0.25">
      <c r="E25" s="13"/>
      <c r="G25" s="13">
        <v>24</v>
      </c>
    </row>
    <row r="26" spans="1:7" x14ac:dyDescent="0.25">
      <c r="E26" s="13"/>
      <c r="G26" s="13">
        <v>25</v>
      </c>
    </row>
    <row r="27" spans="1:7" x14ac:dyDescent="0.25">
      <c r="E27" s="13"/>
      <c r="G27" s="13">
        <v>26</v>
      </c>
    </row>
    <row r="28" spans="1:7" x14ac:dyDescent="0.25">
      <c r="E28" s="13"/>
      <c r="G28" s="13">
        <v>27</v>
      </c>
    </row>
    <row r="29" spans="1:7" x14ac:dyDescent="0.25">
      <c r="E29" s="13"/>
      <c r="G29" s="13">
        <v>28</v>
      </c>
    </row>
    <row r="30" spans="1:7" x14ac:dyDescent="0.25">
      <c r="E30" s="13"/>
      <c r="G30" s="13">
        <v>29</v>
      </c>
    </row>
    <row r="31" spans="1:7" x14ac:dyDescent="0.25">
      <c r="E31" s="13"/>
      <c r="G31" s="13">
        <v>30</v>
      </c>
    </row>
    <row r="32" spans="1:7" x14ac:dyDescent="0.25">
      <c r="E32" s="13"/>
      <c r="G32" s="13">
        <v>31</v>
      </c>
    </row>
    <row r="33" spans="5:7" x14ac:dyDescent="0.25">
      <c r="E33" s="13"/>
      <c r="G33" s="13">
        <v>32</v>
      </c>
    </row>
    <row r="34" spans="5:7" x14ac:dyDescent="0.25">
      <c r="E34" s="13"/>
      <c r="G34" s="13">
        <v>33</v>
      </c>
    </row>
    <row r="35" spans="5:7" x14ac:dyDescent="0.25">
      <c r="E35" s="13"/>
      <c r="G35" s="13">
        <v>34</v>
      </c>
    </row>
    <row r="36" spans="5:7" x14ac:dyDescent="0.25">
      <c r="G36" s="12">
        <v>35</v>
      </c>
    </row>
    <row r="37" spans="5:7" x14ac:dyDescent="0.25">
      <c r="G37" s="12">
        <v>36</v>
      </c>
    </row>
    <row r="38" spans="5:7" x14ac:dyDescent="0.25">
      <c r="G38" s="12">
        <v>37</v>
      </c>
    </row>
    <row r="39" spans="5:7" x14ac:dyDescent="0.25">
      <c r="G39" s="12">
        <v>38</v>
      </c>
    </row>
    <row r="40" spans="5:7" x14ac:dyDescent="0.25">
      <c r="G40" s="12">
        <v>39</v>
      </c>
    </row>
    <row r="41" spans="5:7" x14ac:dyDescent="0.25">
      <c r="G41" s="12">
        <v>40</v>
      </c>
    </row>
    <row r="42" spans="5:7" x14ac:dyDescent="0.25">
      <c r="G42" s="12">
        <v>41</v>
      </c>
    </row>
    <row r="43" spans="5:7" x14ac:dyDescent="0.25">
      <c r="G43" s="12">
        <v>42</v>
      </c>
    </row>
    <row r="44" spans="5:7" x14ac:dyDescent="0.25">
      <c r="G44" s="12">
        <v>43</v>
      </c>
    </row>
    <row r="45" spans="5:7" x14ac:dyDescent="0.25">
      <c r="G45" s="12">
        <v>44</v>
      </c>
    </row>
    <row r="46" spans="5:7" x14ac:dyDescent="0.25">
      <c r="G46" s="12">
        <v>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72"/>
  <sheetViews>
    <sheetView workbookViewId="0">
      <selection activeCell="C7472" sqref="C7472"/>
    </sheetView>
  </sheetViews>
  <sheetFormatPr baseColWidth="10" defaultRowHeight="15" x14ac:dyDescent="0.25"/>
  <cols>
    <col min="1" max="1" width="10.28515625" bestFit="1" customWidth="1"/>
    <col min="2" max="2" width="44.42578125" bestFit="1" customWidth="1"/>
    <col min="3" max="3" width="29.140625" bestFit="1" customWidth="1"/>
  </cols>
  <sheetData>
    <row r="1" spans="1:3" x14ac:dyDescent="0.25">
      <c r="A1" t="s">
        <v>52</v>
      </c>
      <c r="B1" t="s">
        <v>53</v>
      </c>
      <c r="C1" t="s">
        <v>60</v>
      </c>
    </row>
    <row r="2" spans="1:3" x14ac:dyDescent="0.25">
      <c r="A2" t="str">
        <f>"010002228"</f>
        <v>010002228</v>
      </c>
      <c r="B2" t="str">
        <f>"EHPAD L'AMBARROISE AMBERIEU"</f>
        <v>EHPAD L'AMBARROISE AMBERIEU</v>
      </c>
      <c r="C2" t="s">
        <v>61</v>
      </c>
    </row>
    <row r="3" spans="1:3" x14ac:dyDescent="0.25">
      <c r="A3" t="str">
        <f>"010004059"</f>
        <v>010004059</v>
      </c>
      <c r="B3" t="str">
        <f>"EHPAD LE CLOS CHEVALIER ORNEX"</f>
        <v>EHPAD LE CLOS CHEVALIER ORNEX</v>
      </c>
      <c r="C3" t="s">
        <v>61</v>
      </c>
    </row>
    <row r="4" spans="1:3" x14ac:dyDescent="0.25">
      <c r="A4" t="str">
        <f>"010006799"</f>
        <v>010006799</v>
      </c>
      <c r="B4" t="str">
        <f>"EHPAD LA ROSE DES VENTS"</f>
        <v>EHPAD LA ROSE DES VENTS</v>
      </c>
      <c r="C4" t="s">
        <v>61</v>
      </c>
    </row>
    <row r="5" spans="1:3" x14ac:dyDescent="0.25">
      <c r="A5" t="str">
        <f>"010008571"</f>
        <v>010008571</v>
      </c>
      <c r="B5" t="str">
        <f>"EHPAD L'OREE DES SAPINS (CHPH)"</f>
        <v>EHPAD L'OREE DES SAPINS (CHPH)</v>
      </c>
      <c r="C5" t="s">
        <v>61</v>
      </c>
    </row>
    <row r="6" spans="1:3" x14ac:dyDescent="0.25">
      <c r="A6" t="str">
        <f>"010009223"</f>
        <v>010009223</v>
      </c>
      <c r="B6" t="str">
        <f>"EHPAD LES HELLEBORES GROISSIAT"</f>
        <v>EHPAD LES HELLEBORES GROISSIAT</v>
      </c>
      <c r="C6" t="s">
        <v>61</v>
      </c>
    </row>
    <row r="7" spans="1:3" x14ac:dyDescent="0.25">
      <c r="A7" t="str">
        <f>"010010494"</f>
        <v>010010494</v>
      </c>
      <c r="B7" t="str">
        <f>"EHPAD CHATEAU D'ANGEVILLE"</f>
        <v>EHPAD CHATEAU D'ANGEVILLE</v>
      </c>
      <c r="C7" t="s">
        <v>61</v>
      </c>
    </row>
    <row r="8" spans="1:3" x14ac:dyDescent="0.25">
      <c r="A8" t="str">
        <f>"010780013"</f>
        <v>010780013</v>
      </c>
      <c r="B8" t="str">
        <f>"EHPAD DE DIVONNE DU CH DU PAYS DE GEX"</f>
        <v>EHPAD DE DIVONNE DU CH DU PAYS DE GEX</v>
      </c>
      <c r="C8" t="s">
        <v>61</v>
      </c>
    </row>
    <row r="9" spans="1:3" x14ac:dyDescent="0.25">
      <c r="A9" t="str">
        <f>"010780849"</f>
        <v>010780849</v>
      </c>
      <c r="B9" t="str">
        <f>"EHPAD LE CHATEAU DE GREX CORBONOD"</f>
        <v>EHPAD LE CHATEAU DE GREX CORBONOD</v>
      </c>
      <c r="C9" t="s">
        <v>61</v>
      </c>
    </row>
    <row r="10" spans="1:3" x14ac:dyDescent="0.25">
      <c r="A10" t="str">
        <f>"010780906"</f>
        <v>010780906</v>
      </c>
      <c r="B10" t="str">
        <f>"EHPAD RESIDENCE FONTELUNE AMBERIEU"</f>
        <v>EHPAD RESIDENCE FONTELUNE AMBERIEU</v>
      </c>
      <c r="C10" t="s">
        <v>61</v>
      </c>
    </row>
    <row r="11" spans="1:3" x14ac:dyDescent="0.25">
      <c r="A11" t="str">
        <f>"010780914"</f>
        <v>010780914</v>
      </c>
      <c r="B11" t="str">
        <f>"EHPAD RESIDENCE D'URFE BAGE LE CHATEL"</f>
        <v>EHPAD RESIDENCE D'URFE BAGE LE CHATEL</v>
      </c>
      <c r="C11" t="s">
        <v>61</v>
      </c>
    </row>
    <row r="12" spans="1:3" x14ac:dyDescent="0.25">
      <c r="A12" t="str">
        <f>"010780922"</f>
        <v>010780922</v>
      </c>
      <c r="B12" t="str">
        <f>"EHPAD RESIDENCE L'ALBIZIA À CERDON"</f>
        <v>EHPAD RESIDENCE L'ALBIZIA À CERDON</v>
      </c>
      <c r="C12" t="s">
        <v>61</v>
      </c>
    </row>
    <row r="13" spans="1:3" x14ac:dyDescent="0.25">
      <c r="A13" t="str">
        <f>"010780930"</f>
        <v>010780930</v>
      </c>
      <c r="B13" t="str">
        <f>"EHPAD FONDATION COSTAZ CHAMPAGNE"</f>
        <v>EHPAD FONDATION COSTAZ CHAMPAGNE</v>
      </c>
      <c r="C13" t="s">
        <v>61</v>
      </c>
    </row>
    <row r="14" spans="1:3" x14ac:dyDescent="0.25">
      <c r="A14" t="str">
        <f>"010780955"</f>
        <v>010780955</v>
      </c>
      <c r="B14" t="str">
        <f>"EHPAD RESIDENCE LA JONQUILLERE"</f>
        <v>EHPAD RESIDENCE LA JONQUILLERE</v>
      </c>
      <c r="C14" t="s">
        <v>61</v>
      </c>
    </row>
    <row r="15" spans="1:3" x14ac:dyDescent="0.25">
      <c r="A15" t="str">
        <f>"010780963"</f>
        <v>010780963</v>
      </c>
      <c r="B15" t="str">
        <f>"EHPAD MAISON DE RETRAITE BON ACCUEIL"</f>
        <v>EHPAD MAISON DE RETRAITE BON ACCUEIL</v>
      </c>
      <c r="C15" t="s">
        <v>61</v>
      </c>
    </row>
    <row r="16" spans="1:3" x14ac:dyDescent="0.25">
      <c r="A16" t="str">
        <f>"010780971"</f>
        <v>010780971</v>
      </c>
      <c r="B16" t="str">
        <f>"EHPAD LES TILLEULS MONTLUEL"</f>
        <v>EHPAD LES TILLEULS MONTLUEL</v>
      </c>
      <c r="C16" t="s">
        <v>61</v>
      </c>
    </row>
    <row r="17" spans="1:3" x14ac:dyDescent="0.25">
      <c r="A17" t="str">
        <f>"010780989"</f>
        <v>010780989</v>
      </c>
      <c r="B17" t="str">
        <f>"EHPAD LA RIVIERE D'ARGENT MONTMERLE"</f>
        <v>EHPAD LA RIVIERE D'ARGENT MONTMERLE</v>
      </c>
      <c r="C17" t="s">
        <v>61</v>
      </c>
    </row>
    <row r="18" spans="1:3" x14ac:dyDescent="0.25">
      <c r="A18" t="str">
        <f>"010781003"</f>
        <v>010781003</v>
      </c>
      <c r="B18" t="str">
        <f>"EHPAD RESIDENCE DOCTEUR PERRET"</f>
        <v>EHPAD RESIDENCE DOCTEUR PERRET</v>
      </c>
      <c r="C18" t="s">
        <v>61</v>
      </c>
    </row>
    <row r="19" spans="1:3" x14ac:dyDescent="0.25">
      <c r="A19" t="str">
        <f>"010781011"</f>
        <v>010781011</v>
      </c>
      <c r="B19" t="str">
        <f>"EHPAD PUBLIC LES SAULAIES"</f>
        <v>EHPAD PUBLIC LES SAULAIES</v>
      </c>
      <c r="C19" t="s">
        <v>61</v>
      </c>
    </row>
    <row r="20" spans="1:3" x14ac:dyDescent="0.25">
      <c r="A20" t="str">
        <f>"010781029"</f>
        <v>010781029</v>
      </c>
      <c r="B20" t="str">
        <f>"EHPAD LA MAISON À SOIE TENAY"</f>
        <v>EHPAD LA MAISON À SOIE TENAY</v>
      </c>
      <c r="C20" t="s">
        <v>61</v>
      </c>
    </row>
    <row r="21" spans="1:3" x14ac:dyDescent="0.25">
      <c r="A21" t="str">
        <f>"010781037"</f>
        <v>010781037</v>
      </c>
      <c r="B21" t="str">
        <f>"EHPAD PUBLIC DE VILLARS-LES-DOMBES"</f>
        <v>EHPAD PUBLIC DE VILLARS-LES-DOMBES</v>
      </c>
      <c r="C21" t="s">
        <v>61</v>
      </c>
    </row>
    <row r="22" spans="1:3" x14ac:dyDescent="0.25">
      <c r="A22" t="str">
        <f>"010781045"</f>
        <v>010781045</v>
      </c>
      <c r="B22" t="str">
        <f>"EHPAD SAINT VINCENT VALSERHONE"</f>
        <v>EHPAD SAINT VINCENT VALSERHONE</v>
      </c>
      <c r="C22" t="s">
        <v>61</v>
      </c>
    </row>
    <row r="23" spans="1:3" x14ac:dyDescent="0.25">
      <c r="A23" t="str">
        <f>"010781078"</f>
        <v>010781078</v>
      </c>
      <c r="B23" t="str">
        <f>"EHPAD LA CATHERINETTE PONT D'AIN"</f>
        <v>EHPAD LA CATHERINETTE PONT D'AIN</v>
      </c>
      <c r="C23" t="s">
        <v>61</v>
      </c>
    </row>
    <row r="24" spans="1:3" x14ac:dyDescent="0.25">
      <c r="A24" t="str">
        <f>"010784106"</f>
        <v>010784106</v>
      </c>
      <c r="B24" t="str">
        <f>"EHPAD SOEUR ROSALIE CONFORT"</f>
        <v>EHPAD SOEUR ROSALIE CONFORT</v>
      </c>
      <c r="C24" t="s">
        <v>61</v>
      </c>
    </row>
    <row r="25" spans="1:3" x14ac:dyDescent="0.25">
      <c r="A25" t="str">
        <f>"010784114"</f>
        <v>010784114</v>
      </c>
      <c r="B25" t="str">
        <f>"EHPAD RESIDENCE ARY GEOFFRAY"</f>
        <v>EHPAD RESIDENCE ARY GEOFFRAY</v>
      </c>
      <c r="C25" t="s">
        <v>61</v>
      </c>
    </row>
    <row r="26" spans="1:3" x14ac:dyDescent="0.25">
      <c r="A26" t="str">
        <f>"010784130"</f>
        <v>010784130</v>
      </c>
      <c r="B26" t="str">
        <f>"EHPAD CROIX ROUGE FRANCAISE"</f>
        <v>EHPAD CROIX ROUGE FRANCAISE</v>
      </c>
      <c r="C26" t="s">
        <v>61</v>
      </c>
    </row>
    <row r="27" spans="1:3" x14ac:dyDescent="0.25">
      <c r="A27" t="str">
        <f>"010784239"</f>
        <v>010784239</v>
      </c>
      <c r="B27" t="str">
        <f>"EHPAD BON REPOS BOURG-EN-BRESSE"</f>
        <v>EHPAD BON REPOS BOURG-EN-BRESSE</v>
      </c>
      <c r="C27" t="s">
        <v>61</v>
      </c>
    </row>
    <row r="28" spans="1:3" x14ac:dyDescent="0.25">
      <c r="A28" t="str">
        <f>"010784312"</f>
        <v>010784312</v>
      </c>
      <c r="B28" t="str">
        <f>"EHPAD EMILE PELICAND"</f>
        <v>EHPAD EMILE PELICAND</v>
      </c>
      <c r="C28" t="s">
        <v>61</v>
      </c>
    </row>
    <row r="29" spans="1:3" x14ac:dyDescent="0.25">
      <c r="A29" t="str">
        <f>"010784353"</f>
        <v>010784353</v>
      </c>
      <c r="B29" t="str">
        <f>"EHPAD CLAIRVAL"</f>
        <v>EHPAD CLAIRVAL</v>
      </c>
      <c r="C29" t="s">
        <v>61</v>
      </c>
    </row>
    <row r="30" spans="1:3" x14ac:dyDescent="0.25">
      <c r="A30" t="str">
        <f>"010784429"</f>
        <v>010784429</v>
      </c>
      <c r="B30" t="str">
        <f>"EHPAD DU CHAVS SITE PONT DE VEYLE"</f>
        <v>EHPAD DU CHAVS SITE PONT DE VEYLE</v>
      </c>
      <c r="C30" t="s">
        <v>61</v>
      </c>
    </row>
    <row r="31" spans="1:3" x14ac:dyDescent="0.25">
      <c r="A31" t="str">
        <f>"010784437"</f>
        <v>010784437</v>
      </c>
      <c r="B31" t="str">
        <f>"EHPAD DU CHAVS SITE THOISSEY"</f>
        <v>EHPAD DU CHAVS SITE THOISSEY</v>
      </c>
      <c r="C31" t="s">
        <v>61</v>
      </c>
    </row>
    <row r="32" spans="1:3" x14ac:dyDescent="0.25">
      <c r="A32" t="str">
        <f>"010784510"</f>
        <v>010784510</v>
      </c>
      <c r="B32" t="str">
        <f>"EHPAD CH PAYS DE GEX"</f>
        <v>EHPAD CH PAYS DE GEX</v>
      </c>
      <c r="C32" t="s">
        <v>61</v>
      </c>
    </row>
    <row r="33" spans="1:3" x14ac:dyDescent="0.25">
      <c r="A33" t="str">
        <f>"010784692"</f>
        <v>010784692</v>
      </c>
      <c r="B33" t="str">
        <f>"EHPAD RESIDENCE BON SEJOUR MIRIBEL"</f>
        <v>EHPAD RESIDENCE BON SEJOUR MIRIBEL</v>
      </c>
      <c r="C33" t="s">
        <v>61</v>
      </c>
    </row>
    <row r="34" spans="1:3" x14ac:dyDescent="0.25">
      <c r="A34" t="str">
        <f>"010785673"</f>
        <v>010785673</v>
      </c>
      <c r="B34" t="str">
        <f>"EHPAD BON REPOS BELLEY"</f>
        <v>EHPAD BON REPOS BELLEY</v>
      </c>
      <c r="C34" t="s">
        <v>61</v>
      </c>
    </row>
    <row r="35" spans="1:3" x14ac:dyDescent="0.25">
      <c r="A35" t="str">
        <f>"010785681"</f>
        <v>010785681</v>
      </c>
      <c r="B35" t="str">
        <f>"EHPAD RESIDENCE LES MIMOSAS"</f>
        <v>EHPAD RESIDENCE LES MIMOSAS</v>
      </c>
      <c r="C35" t="s">
        <v>61</v>
      </c>
    </row>
    <row r="36" spans="1:3" x14ac:dyDescent="0.25">
      <c r="A36" t="str">
        <f>"010785822"</f>
        <v>010785822</v>
      </c>
      <c r="B36" t="str">
        <f>"EHPAD LES OPALINES BELIGNEUX"</f>
        <v>EHPAD LES OPALINES BELIGNEUX</v>
      </c>
      <c r="C36" t="s">
        <v>61</v>
      </c>
    </row>
    <row r="37" spans="1:3" x14ac:dyDescent="0.25">
      <c r="A37" t="str">
        <f>"010786002"</f>
        <v>010786002</v>
      </c>
      <c r="B37" t="str">
        <f>"EHPAD LES OPALINES ROMANS"</f>
        <v>EHPAD LES OPALINES ROMANS</v>
      </c>
      <c r="C37" t="s">
        <v>61</v>
      </c>
    </row>
    <row r="38" spans="1:3" x14ac:dyDescent="0.25">
      <c r="A38" t="str">
        <f>"010786010"</f>
        <v>010786010</v>
      </c>
      <c r="B38" t="str">
        <f>"EHPAD CH BUGEY SUD"</f>
        <v>EHPAD CH BUGEY SUD</v>
      </c>
      <c r="C38" t="s">
        <v>61</v>
      </c>
    </row>
    <row r="39" spans="1:3" x14ac:dyDescent="0.25">
      <c r="A39" t="str">
        <f>"010786036"</f>
        <v>010786036</v>
      </c>
      <c r="B39" t="str">
        <f>"EHPAD NANTUA 'LES JARDINS DU LAC'"</f>
        <v>EHPAD NANTUA 'LES JARDINS DU LAC'</v>
      </c>
      <c r="C39" t="s">
        <v>61</v>
      </c>
    </row>
    <row r="40" spans="1:3" x14ac:dyDescent="0.25">
      <c r="A40" t="str">
        <f>"010786077"</f>
        <v>010786077</v>
      </c>
      <c r="B40" t="str">
        <f>"EHPAD LE TOURNANT DES SAISONS"</f>
        <v>EHPAD LE TOURNANT DES SAISONS</v>
      </c>
      <c r="C40" t="s">
        <v>61</v>
      </c>
    </row>
    <row r="41" spans="1:3" x14ac:dyDescent="0.25">
      <c r="A41" t="str">
        <f>"010786085"</f>
        <v>010786085</v>
      </c>
      <c r="B41" t="str">
        <f>"EHPAD CH PONT DE VAUX"</f>
        <v>EHPAD CH PONT DE VAUX</v>
      </c>
      <c r="C41" t="s">
        <v>61</v>
      </c>
    </row>
    <row r="42" spans="1:3" x14ac:dyDescent="0.25">
      <c r="A42" t="str">
        <f>"010786101"</f>
        <v>010786101</v>
      </c>
      <c r="B42" t="str">
        <f>"EHPAD LE PETIT CHÊNE"</f>
        <v>EHPAD LE PETIT CHÊNE</v>
      </c>
      <c r="C42" t="s">
        <v>61</v>
      </c>
    </row>
    <row r="43" spans="1:3" x14ac:dyDescent="0.25">
      <c r="A43" t="str">
        <f>"010786119"</f>
        <v>010786119</v>
      </c>
      <c r="B43" t="str">
        <f>"EHPAD DES MILLE ETANGS A CHALAMONT"</f>
        <v>EHPAD DES MILLE ETANGS A CHALAMONT</v>
      </c>
      <c r="C43" t="s">
        <v>61</v>
      </c>
    </row>
    <row r="44" spans="1:3" x14ac:dyDescent="0.25">
      <c r="A44" t="str">
        <f>"010786135"</f>
        <v>010786135</v>
      </c>
      <c r="B44" t="str">
        <f>"EHPAD 'LA MAISON BOUCHACOURT'"</f>
        <v>EHPAD 'LA MAISON BOUCHACOURT'</v>
      </c>
      <c r="C44" t="s">
        <v>61</v>
      </c>
    </row>
    <row r="45" spans="1:3" x14ac:dyDescent="0.25">
      <c r="A45" t="str">
        <f>"010786143"</f>
        <v>010786143</v>
      </c>
      <c r="B45" t="str">
        <f>"EHPAD  DE MEXIMIEUX SITES LA ROSE D'OR"</f>
        <v>EHPAD  DE MEXIMIEUX SITES LA ROSE D'OR</v>
      </c>
      <c r="C45" t="s">
        <v>61</v>
      </c>
    </row>
    <row r="46" spans="1:3" x14ac:dyDescent="0.25">
      <c r="A46" t="str">
        <f>"010786150"</f>
        <v>010786150</v>
      </c>
      <c r="B46" t="str">
        <f>"EHPAD SITE DU CH DE MEXIMIEUX"</f>
        <v>EHPAD SITE DU CH DE MEXIMIEUX</v>
      </c>
      <c r="C46" t="s">
        <v>61</v>
      </c>
    </row>
    <row r="47" spans="1:3" x14ac:dyDescent="0.25">
      <c r="A47" t="str">
        <f>"010786176"</f>
        <v>010786176</v>
      </c>
      <c r="B47" t="str">
        <f>"EHPAD ST JOSEPH JASSERON"</f>
        <v>EHPAD ST JOSEPH JASSERON</v>
      </c>
      <c r="C47" t="s">
        <v>61</v>
      </c>
    </row>
    <row r="48" spans="1:3" x14ac:dyDescent="0.25">
      <c r="A48" t="str">
        <f>"010788024"</f>
        <v>010788024</v>
      </c>
      <c r="B48" t="str">
        <f>"EHPAD PUBLIC LA MONTAGNE CHATILLON"</f>
        <v>EHPAD PUBLIC LA MONTAGNE CHATILLON</v>
      </c>
      <c r="C48" t="s">
        <v>61</v>
      </c>
    </row>
    <row r="49" spans="1:3" x14ac:dyDescent="0.25">
      <c r="A49" t="str">
        <f>"010788032"</f>
        <v>010788032</v>
      </c>
      <c r="B49" t="str">
        <f>"EHPAD MONTREVEL-EN-BRESSE-FOISSIAT"</f>
        <v>EHPAD MONTREVEL-EN-BRESSE-FOISSIAT</v>
      </c>
      <c r="C49" t="s">
        <v>61</v>
      </c>
    </row>
    <row r="50" spans="1:3" x14ac:dyDescent="0.25">
      <c r="A50" t="str">
        <f>"010788040"</f>
        <v>010788040</v>
      </c>
      <c r="B50" t="str">
        <f>"EHPAD RESIDENCE AMEYZIEU TALISSIEU"</f>
        <v>EHPAD RESIDENCE AMEYZIEU TALISSIEU</v>
      </c>
      <c r="C50" t="s">
        <v>61</v>
      </c>
    </row>
    <row r="51" spans="1:3" x14ac:dyDescent="0.25">
      <c r="A51" t="str">
        <f>"010788230"</f>
        <v>010788230</v>
      </c>
      <c r="B51" t="str">
        <f>"EHPAD CHATEAU DE VERNANGE"</f>
        <v>EHPAD CHATEAU DE VERNANGE</v>
      </c>
      <c r="C51" t="s">
        <v>61</v>
      </c>
    </row>
    <row r="52" spans="1:3" x14ac:dyDescent="0.25">
      <c r="A52" t="str">
        <f>"010788396"</f>
        <v>010788396</v>
      </c>
      <c r="B52" t="str">
        <f>"EHPAD LES OPALINES NEUVILLE-LES-DAMES"</f>
        <v>EHPAD LES OPALINES NEUVILLE-LES-DAMES</v>
      </c>
      <c r="C52" t="s">
        <v>61</v>
      </c>
    </row>
    <row r="53" spans="1:3" x14ac:dyDescent="0.25">
      <c r="A53" t="str">
        <f>"010788438"</f>
        <v>010788438</v>
      </c>
      <c r="B53" t="str">
        <f>"EHPAD PLEIN SOLEIL LHUIS"</f>
        <v>EHPAD PLEIN SOLEIL LHUIS</v>
      </c>
      <c r="C53" t="s">
        <v>61</v>
      </c>
    </row>
    <row r="54" spans="1:3" x14ac:dyDescent="0.25">
      <c r="A54" t="str">
        <f>"010788644"</f>
        <v>010788644</v>
      </c>
      <c r="B54" t="str">
        <f>"EHPAD CHATEAU DE VALENCE JUJURIEUX"</f>
        <v>EHPAD CHATEAU DE VALENCE JUJURIEUX</v>
      </c>
      <c r="C54" t="s">
        <v>61</v>
      </c>
    </row>
    <row r="55" spans="1:3" x14ac:dyDescent="0.25">
      <c r="A55" t="str">
        <f>"010788669"</f>
        <v>010788669</v>
      </c>
      <c r="B55" t="str">
        <f>"EHPAD RESIDENCE CLAIRES FONTAINES"</f>
        <v>EHPAD RESIDENCE CLAIRES FONTAINES</v>
      </c>
      <c r="C55" t="s">
        <v>61</v>
      </c>
    </row>
    <row r="56" spans="1:3" x14ac:dyDescent="0.25">
      <c r="A56" t="str">
        <f>"010788743"</f>
        <v>010788743</v>
      </c>
      <c r="B56" t="str">
        <f>"EHPAD LA PERGOLA BOURG-EN-BRESSE"</f>
        <v>EHPAD LA PERGOLA BOURG-EN-BRESSE</v>
      </c>
      <c r="C56" t="s">
        <v>61</v>
      </c>
    </row>
    <row r="57" spans="1:3" x14ac:dyDescent="0.25">
      <c r="A57" t="str">
        <f>"010788768"</f>
        <v>010788768</v>
      </c>
      <c r="B57" t="str">
        <f>"EHPAD LES CYCLAMENS CHALLEX"</f>
        <v>EHPAD LES CYCLAMENS CHALLEX</v>
      </c>
      <c r="C57" t="s">
        <v>61</v>
      </c>
    </row>
    <row r="58" spans="1:3" x14ac:dyDescent="0.25">
      <c r="A58" t="str">
        <f>"010789030"</f>
        <v>010789030</v>
      </c>
      <c r="B58" t="str">
        <f>"EHPAD UTRILLO SAINT-BERNARD"</f>
        <v>EHPAD UTRILLO SAINT-BERNARD</v>
      </c>
      <c r="C58" t="s">
        <v>61</v>
      </c>
    </row>
    <row r="59" spans="1:3" x14ac:dyDescent="0.25">
      <c r="A59" t="str">
        <f>"010789055"</f>
        <v>010789055</v>
      </c>
      <c r="B59" t="str">
        <f>"EHPAD VILLA ADELAIDE HAUTEVILLE"</f>
        <v>EHPAD VILLA ADELAIDE HAUTEVILLE</v>
      </c>
      <c r="C59" t="s">
        <v>61</v>
      </c>
    </row>
    <row r="60" spans="1:3" x14ac:dyDescent="0.25">
      <c r="A60" t="str">
        <f>"010789188"</f>
        <v>010789188</v>
      </c>
      <c r="B60" t="str">
        <f>"EHPAD DOLCEA JARDINS MEDICIS BELLEY"</f>
        <v>EHPAD DOLCEA JARDINS MEDICIS BELLEY</v>
      </c>
      <c r="C60" t="s">
        <v>61</v>
      </c>
    </row>
    <row r="61" spans="1:3" x14ac:dyDescent="0.25">
      <c r="A61" t="str">
        <f>"010789204"</f>
        <v>010789204</v>
      </c>
      <c r="B61" t="str">
        <f>"EHPAD LES ANCOLIES PERONNAS"</f>
        <v>EHPAD LES ANCOLIES PERONNAS</v>
      </c>
      <c r="C61" t="s">
        <v>61</v>
      </c>
    </row>
    <row r="62" spans="1:3" x14ac:dyDescent="0.25">
      <c r="A62" t="str">
        <f>"010789220"</f>
        <v>010789220</v>
      </c>
      <c r="B62" t="str">
        <f>"EHPAD RESIDENCE CAMILLE CORNIER"</f>
        <v>EHPAD RESIDENCE CAMILLE CORNIER</v>
      </c>
      <c r="C62" t="s">
        <v>61</v>
      </c>
    </row>
    <row r="63" spans="1:3" x14ac:dyDescent="0.25">
      <c r="A63" t="str">
        <f>"010789402"</f>
        <v>010789402</v>
      </c>
      <c r="B63" t="str">
        <f>"EHPAD RESIDENCE SEILLON REPOS PERONNAS"</f>
        <v>EHPAD RESIDENCE SEILLON REPOS PERONNAS</v>
      </c>
      <c r="C63" t="s">
        <v>61</v>
      </c>
    </row>
    <row r="64" spans="1:3" x14ac:dyDescent="0.25">
      <c r="A64" t="str">
        <f>"010789758"</f>
        <v>010789758</v>
      </c>
      <c r="B64" t="str">
        <f>"EHPAD KORIAN LES FAUVETTES"</f>
        <v>EHPAD KORIAN LES FAUVETTES</v>
      </c>
      <c r="C64" t="s">
        <v>61</v>
      </c>
    </row>
    <row r="65" spans="1:3" x14ac:dyDescent="0.25">
      <c r="A65" t="str">
        <f>"010789899"</f>
        <v>010789899</v>
      </c>
      <c r="B65" t="str">
        <f>"EHPAD VILLA CHARLOTTE ARBENT"</f>
        <v>EHPAD VILLA CHARLOTTE ARBENT</v>
      </c>
      <c r="C65" t="s">
        <v>61</v>
      </c>
    </row>
    <row r="66" spans="1:3" x14ac:dyDescent="0.25">
      <c r="A66" t="str">
        <f>"010789915"</f>
        <v>010789915</v>
      </c>
      <c r="B66" t="str">
        <f>"EHPAD LES PEUPLIERS BOURG-EN-BRESSE"</f>
        <v>EHPAD LES PEUPLIERS BOURG-EN-BRESSE</v>
      </c>
      <c r="C66" t="s">
        <v>61</v>
      </c>
    </row>
    <row r="67" spans="1:3" x14ac:dyDescent="0.25">
      <c r="A67" t="str">
        <f>"010789949"</f>
        <v>010789949</v>
      </c>
      <c r="B67" t="str">
        <f>"EHPAD KORIAN HOME DE CORTEFREDONE"</f>
        <v>EHPAD KORIAN HOME DE CORTEFREDONE</v>
      </c>
      <c r="C67" t="s">
        <v>61</v>
      </c>
    </row>
    <row r="68" spans="1:3" x14ac:dyDescent="0.25">
      <c r="A68" t="str">
        <f>"010789964"</f>
        <v>010789964</v>
      </c>
      <c r="B68" t="str">
        <f>"EHPAD KORIAN JARDIN DE BROU"</f>
        <v>EHPAD KORIAN JARDIN DE BROU</v>
      </c>
      <c r="C68" t="s">
        <v>61</v>
      </c>
    </row>
    <row r="69" spans="1:3" x14ac:dyDescent="0.25">
      <c r="A69" t="str">
        <f>"020000030"</f>
        <v>020000030</v>
      </c>
      <c r="B69" t="str">
        <f>"EHPAD CH HIRSON"</f>
        <v>EHPAD CH HIRSON</v>
      </c>
      <c r="C69" t="s">
        <v>68</v>
      </c>
    </row>
    <row r="70" spans="1:3" x14ac:dyDescent="0.25">
      <c r="A70" t="str">
        <f>"020000634"</f>
        <v>020000634</v>
      </c>
      <c r="B70" t="str">
        <f>"EHPAD CRÉCY-SUR-SERRE"</f>
        <v>EHPAD CRÉCY-SUR-SERRE</v>
      </c>
      <c r="C70" t="s">
        <v>68</v>
      </c>
    </row>
    <row r="71" spans="1:3" x14ac:dyDescent="0.25">
      <c r="A71" t="str">
        <f>"020002028"</f>
        <v>020002028</v>
      </c>
      <c r="B71" t="str">
        <f>"EHPAD LEFÈVRE FLAVY-LE-MARTEL"</f>
        <v>EHPAD LEFÈVRE FLAVY-LE-MARTEL</v>
      </c>
      <c r="C71" t="s">
        <v>68</v>
      </c>
    </row>
    <row r="72" spans="1:3" x14ac:dyDescent="0.25">
      <c r="A72" t="str">
        <f>"020002044"</f>
        <v>020002044</v>
      </c>
      <c r="B72" t="str">
        <f>"EHPAD VENDEUIL"</f>
        <v>EHPAD VENDEUIL</v>
      </c>
      <c r="C72" t="s">
        <v>68</v>
      </c>
    </row>
    <row r="73" spans="1:3" x14ac:dyDescent="0.25">
      <c r="A73" t="str">
        <f>"020002093"</f>
        <v>020002093</v>
      </c>
      <c r="B73" t="str">
        <f>"EHPAD BUIRONFOSSE"</f>
        <v>EHPAD BUIRONFOSSE</v>
      </c>
      <c r="C73" t="s">
        <v>68</v>
      </c>
    </row>
    <row r="74" spans="1:3" x14ac:dyDescent="0.25">
      <c r="A74" t="str">
        <f>"020002101"</f>
        <v>020002101</v>
      </c>
      <c r="B74" t="str">
        <f>"EHPAD VUIDET"</f>
        <v>EHPAD VUIDET</v>
      </c>
      <c r="C74" t="s">
        <v>68</v>
      </c>
    </row>
    <row r="75" spans="1:3" x14ac:dyDescent="0.25">
      <c r="A75" t="str">
        <f>"020002119"</f>
        <v>020002119</v>
      </c>
      <c r="B75" t="str">
        <f>"EHPAD CHARLY-SUR-MARNE"</f>
        <v>EHPAD CHARLY-SUR-MARNE</v>
      </c>
      <c r="C75" t="s">
        <v>68</v>
      </c>
    </row>
    <row r="76" spans="1:3" x14ac:dyDescent="0.25">
      <c r="A76" t="str">
        <f>"020002127"</f>
        <v>020002127</v>
      </c>
      <c r="B76" t="str">
        <f>"EHPAD CHEVRESIS-MONCEAU"</f>
        <v>EHPAD CHEVRESIS-MONCEAU</v>
      </c>
      <c r="C76" t="s">
        <v>68</v>
      </c>
    </row>
    <row r="77" spans="1:3" x14ac:dyDescent="0.25">
      <c r="A77" t="str">
        <f>"020002135"</f>
        <v>020002135</v>
      </c>
      <c r="B77" t="str">
        <f>"EHPAD COUCY-LE-CHÂTEAU-AUFFRIQUE"</f>
        <v>EHPAD COUCY-LE-CHÂTEAU-AUFFRIQUE</v>
      </c>
      <c r="C77" t="s">
        <v>68</v>
      </c>
    </row>
    <row r="78" spans="1:3" x14ac:dyDescent="0.25">
      <c r="A78" t="str">
        <f>"020002143"</f>
        <v>020002143</v>
      </c>
      <c r="B78" t="str">
        <f>"EHPAD CRÉPY"</f>
        <v>EHPAD CRÉPY</v>
      </c>
      <c r="C78" t="s">
        <v>68</v>
      </c>
    </row>
    <row r="79" spans="1:3" x14ac:dyDescent="0.25">
      <c r="A79" t="str">
        <f>"020002150"</f>
        <v>020002150</v>
      </c>
      <c r="B79" t="str">
        <f>"EHPAD DERCHE ETREILLERS"</f>
        <v>EHPAD DERCHE ETREILLERS</v>
      </c>
      <c r="C79" t="s">
        <v>68</v>
      </c>
    </row>
    <row r="80" spans="1:3" x14ac:dyDescent="0.25">
      <c r="A80" t="str">
        <f>"020002168"</f>
        <v>020002168</v>
      </c>
      <c r="B80" t="str">
        <f>"EHPAD LA FERTÉ-MILON"</f>
        <v>EHPAD LA FERTÉ-MILON</v>
      </c>
      <c r="C80" t="s">
        <v>68</v>
      </c>
    </row>
    <row r="81" spans="1:3" x14ac:dyDescent="0.25">
      <c r="A81" t="str">
        <f>"020002176"</f>
        <v>020002176</v>
      </c>
      <c r="B81" t="str">
        <f>"EHPAD MRDA LAON"</f>
        <v>EHPAD MRDA LAON</v>
      </c>
      <c r="C81" t="s">
        <v>68</v>
      </c>
    </row>
    <row r="82" spans="1:3" x14ac:dyDescent="0.25">
      <c r="A82" t="str">
        <f>"020002184"</f>
        <v>020002184</v>
      </c>
      <c r="B82" t="str">
        <f>"EHPAD LIESSE-NOTRE-DAME"</f>
        <v>EHPAD LIESSE-NOTRE-DAME</v>
      </c>
      <c r="C82" t="s">
        <v>68</v>
      </c>
    </row>
    <row r="83" spans="1:3" x14ac:dyDescent="0.25">
      <c r="A83" t="str">
        <f>"020002192"</f>
        <v>020002192</v>
      </c>
      <c r="B83" t="str">
        <f>"EHPAD MARLE"</f>
        <v>EHPAD MARLE</v>
      </c>
      <c r="C83" t="s">
        <v>68</v>
      </c>
    </row>
    <row r="84" spans="1:3" x14ac:dyDescent="0.25">
      <c r="A84" t="str">
        <f>"020002200"</f>
        <v>020002200</v>
      </c>
      <c r="B84" t="str">
        <f>"EHPAD OULCHY-LE-CHÂTEAU"</f>
        <v>EHPAD OULCHY-LE-CHÂTEAU</v>
      </c>
      <c r="C84" t="s">
        <v>68</v>
      </c>
    </row>
    <row r="85" spans="1:3" x14ac:dyDescent="0.25">
      <c r="A85" t="str">
        <f>"020002218"</f>
        <v>020002218</v>
      </c>
      <c r="B85" t="str">
        <f>"EHPAD OREE DES BOIS LECLÈRE"</f>
        <v>EHPAD OREE DES BOIS LECLÈRE</v>
      </c>
      <c r="C85" t="s">
        <v>68</v>
      </c>
    </row>
    <row r="86" spans="1:3" x14ac:dyDescent="0.25">
      <c r="A86" t="str">
        <f>"020002226"</f>
        <v>020002226</v>
      </c>
      <c r="B86" t="str">
        <f>"EHPAD SEBONCOURT"</f>
        <v>EHPAD SEBONCOURT</v>
      </c>
      <c r="C86" t="s">
        <v>68</v>
      </c>
    </row>
    <row r="87" spans="1:3" x14ac:dyDescent="0.25">
      <c r="A87" t="str">
        <f>"020002242"</f>
        <v>020002242</v>
      </c>
      <c r="B87" t="str">
        <f>"EHPAD BOSQUET VILLERS-COTTERÊTS"</f>
        <v>EHPAD BOSQUET VILLERS-COTTERÊTS</v>
      </c>
      <c r="C87" t="s">
        <v>68</v>
      </c>
    </row>
    <row r="88" spans="1:3" x14ac:dyDescent="0.25">
      <c r="A88" t="str">
        <f>"020002259"</f>
        <v>020002259</v>
      </c>
      <c r="B88" t="str">
        <f>"EHPAD NEUILLY-SAINT-FRONT"</f>
        <v>EHPAD NEUILLY-SAINT-FRONT</v>
      </c>
      <c r="C88" t="s">
        <v>68</v>
      </c>
    </row>
    <row r="89" spans="1:3" x14ac:dyDescent="0.25">
      <c r="A89" t="str">
        <f>"020003927"</f>
        <v>020003927</v>
      </c>
      <c r="B89" t="str">
        <f>"EHPAD SAINT-VINCENT-DE-PAUL"</f>
        <v>EHPAD SAINT-VINCENT-DE-PAUL</v>
      </c>
      <c r="C89" t="s">
        <v>68</v>
      </c>
    </row>
    <row r="90" spans="1:3" x14ac:dyDescent="0.25">
      <c r="A90" t="str">
        <f>"020003935"</f>
        <v>020003935</v>
      </c>
      <c r="B90" t="str">
        <f>"EHPAD NOTRE DAME SAINT-QUENTIN"</f>
        <v>EHPAD NOTRE DAME SAINT-QUENTIN</v>
      </c>
      <c r="C90" t="s">
        <v>68</v>
      </c>
    </row>
    <row r="91" spans="1:3" x14ac:dyDescent="0.25">
      <c r="A91" t="str">
        <f>"020003943"</f>
        <v>020003943</v>
      </c>
      <c r="B91" t="str">
        <f>"EHPAD MAISON DE POMMERY"</f>
        <v>EHPAD MAISON DE POMMERY</v>
      </c>
      <c r="C91" t="s">
        <v>68</v>
      </c>
    </row>
    <row r="92" spans="1:3" x14ac:dyDescent="0.25">
      <c r="A92" t="str">
        <f>"020003976"</f>
        <v>020003976</v>
      </c>
      <c r="B92" t="str">
        <f>"EHPAD COALLIA CORBENY"</f>
        <v>EHPAD COALLIA CORBENY</v>
      </c>
      <c r="C92" t="s">
        <v>68</v>
      </c>
    </row>
    <row r="93" spans="1:3" x14ac:dyDescent="0.25">
      <c r="A93" t="str">
        <f>"020003984"</f>
        <v>020003984</v>
      </c>
      <c r="B93" t="str">
        <f>"EHPAD CASTEL FLAVY-LE-MARTEL"</f>
        <v>EHPAD CASTEL FLAVY-LE-MARTEL</v>
      </c>
      <c r="C93" t="s">
        <v>68</v>
      </c>
    </row>
    <row r="94" spans="1:3" x14ac:dyDescent="0.25">
      <c r="A94" t="str">
        <f>"020004008"</f>
        <v>020004008</v>
      </c>
      <c r="B94" t="str">
        <f>"EHPAD PORTES CHAMPAGNE CHÉZY-SUR-MARNE"</f>
        <v>EHPAD PORTES CHAMPAGNE CHÉZY-SUR-MARNE</v>
      </c>
      <c r="C94" t="s">
        <v>68</v>
      </c>
    </row>
    <row r="95" spans="1:3" x14ac:dyDescent="0.25">
      <c r="A95" t="str">
        <f>"020004016"</f>
        <v>020004016</v>
      </c>
      <c r="B95" t="str">
        <f>"EHPAD EPMS COURTEMONT-VARENNES"</f>
        <v>EHPAD EPMS COURTEMONT-VARENNES</v>
      </c>
      <c r="C95" t="s">
        <v>68</v>
      </c>
    </row>
    <row r="96" spans="1:3" x14ac:dyDescent="0.25">
      <c r="A96" t="str">
        <f>"020004024"</f>
        <v>020004024</v>
      </c>
      <c r="B96" t="str">
        <f>"EHPAD COEUVRES-ET-VALSERY"</f>
        <v>EHPAD COEUVRES-ET-VALSERY</v>
      </c>
      <c r="C96" t="s">
        <v>68</v>
      </c>
    </row>
    <row r="97" spans="1:3" x14ac:dyDescent="0.25">
      <c r="A97" t="str">
        <f>"020004032"</f>
        <v>020004032</v>
      </c>
      <c r="B97" t="str">
        <f>"EHPAD OREE DES BOIS JEAN MOULIN"</f>
        <v>EHPAD OREE DES BOIS JEAN MOULIN</v>
      </c>
      <c r="C97" t="s">
        <v>68</v>
      </c>
    </row>
    <row r="98" spans="1:3" x14ac:dyDescent="0.25">
      <c r="A98" t="str">
        <f>"020004057"</f>
        <v>020004057</v>
      </c>
      <c r="B98" t="str">
        <f>"EHPAD AGMR BRAINE"</f>
        <v>EHPAD AGMR BRAINE</v>
      </c>
      <c r="C98" t="s">
        <v>68</v>
      </c>
    </row>
    <row r="99" spans="1:3" x14ac:dyDescent="0.25">
      <c r="A99" t="str">
        <f>"020004065"</f>
        <v>020004065</v>
      </c>
      <c r="B99" t="str">
        <f>"EHPAD BON REPOS"</f>
        <v>EHPAD BON REPOS</v>
      </c>
      <c r="C99" t="s">
        <v>68</v>
      </c>
    </row>
    <row r="100" spans="1:3" x14ac:dyDescent="0.25">
      <c r="A100" t="str">
        <f>"020004107"</f>
        <v>020004107</v>
      </c>
      <c r="B100" t="str">
        <f>"EHPAD CAS-PARIS VILLERS-COTTERÊTS"</f>
        <v>EHPAD CAS-PARIS VILLERS-COTTERÊTS</v>
      </c>
      <c r="C100" t="s">
        <v>68</v>
      </c>
    </row>
    <row r="101" spans="1:3" x14ac:dyDescent="0.25">
      <c r="A101" t="str">
        <f>"020004503"</f>
        <v>020004503</v>
      </c>
      <c r="B101" t="str">
        <f>"EHPAD ORPEA BRASLES"</f>
        <v>EHPAD ORPEA BRASLES</v>
      </c>
      <c r="C101" t="s">
        <v>68</v>
      </c>
    </row>
    <row r="102" spans="1:3" x14ac:dyDescent="0.25">
      <c r="A102" t="str">
        <f>"020004586"</f>
        <v>020004586</v>
      </c>
      <c r="B102" t="str">
        <f>"EHPAD CH SAINT-QUENTIN HUGO"</f>
        <v>EHPAD CH SAINT-QUENTIN HUGO</v>
      </c>
      <c r="C102" t="s">
        <v>68</v>
      </c>
    </row>
    <row r="103" spans="1:3" x14ac:dyDescent="0.25">
      <c r="A103" t="str">
        <f>"020004669"</f>
        <v>020004669</v>
      </c>
      <c r="B103" t="str">
        <f>"EHPAD CH SOISSONS"</f>
        <v>EHPAD CH SOISSONS</v>
      </c>
      <c r="C103" t="s">
        <v>68</v>
      </c>
    </row>
    <row r="104" spans="1:3" x14ac:dyDescent="0.25">
      <c r="A104" t="str">
        <f>"020004693"</f>
        <v>020004693</v>
      </c>
      <c r="B104" t="str">
        <f>"EHPAD CH CHÂTEAU-THIERRY"</f>
        <v>EHPAD CH CHÂTEAU-THIERRY</v>
      </c>
      <c r="C104" t="s">
        <v>68</v>
      </c>
    </row>
    <row r="105" spans="1:3" x14ac:dyDescent="0.25">
      <c r="A105" t="str">
        <f>"020004701"</f>
        <v>020004701</v>
      </c>
      <c r="B105" t="str">
        <f>"EHPAD CH LA FÈRE"</f>
        <v>EHPAD CH LA FÈRE</v>
      </c>
      <c r="C105" t="s">
        <v>68</v>
      </c>
    </row>
    <row r="106" spans="1:3" x14ac:dyDescent="0.25">
      <c r="A106" t="str">
        <f>"020004719"</f>
        <v>020004719</v>
      </c>
      <c r="B106" t="str">
        <f>"EHPAD CH GUISE"</f>
        <v>EHPAD CH GUISE</v>
      </c>
      <c r="C106" t="s">
        <v>68</v>
      </c>
    </row>
    <row r="107" spans="1:3" x14ac:dyDescent="0.25">
      <c r="A107" t="str">
        <f>"020004735"</f>
        <v>020004735</v>
      </c>
      <c r="B107" t="str">
        <f>"EHPAD CH LAON"</f>
        <v>EHPAD CH LAON</v>
      </c>
      <c r="C107" t="s">
        <v>68</v>
      </c>
    </row>
    <row r="108" spans="1:3" x14ac:dyDescent="0.25">
      <c r="A108" t="str">
        <f>"020004750"</f>
        <v>020004750</v>
      </c>
      <c r="B108" t="str">
        <f>"EHPAD CH VERVINS"</f>
        <v>EHPAD CH VERVINS</v>
      </c>
      <c r="C108" t="s">
        <v>68</v>
      </c>
    </row>
    <row r="109" spans="1:3" x14ac:dyDescent="0.25">
      <c r="A109" t="str">
        <f>"020004776"</f>
        <v>020004776</v>
      </c>
      <c r="B109" t="str">
        <f>"EHPAD CH CHAUNY"</f>
        <v>EHPAD CH CHAUNY</v>
      </c>
      <c r="C109" t="s">
        <v>68</v>
      </c>
    </row>
    <row r="110" spans="1:3" x14ac:dyDescent="0.25">
      <c r="A110" t="str">
        <f>"020004966"</f>
        <v>020004966</v>
      </c>
      <c r="B110" t="str">
        <f>"EHPAD MSB BOHAIN-EN-VERMANDOIS"</f>
        <v>EHPAD MSB BOHAIN-EN-VERMANDOIS</v>
      </c>
      <c r="C110" t="s">
        <v>68</v>
      </c>
    </row>
    <row r="111" spans="1:3" x14ac:dyDescent="0.25">
      <c r="A111" t="str">
        <f>"020004974"</f>
        <v>020004974</v>
      </c>
      <c r="B111" t="str">
        <f>"EHPAD CH LE NOUVION-EN-THIÉRACHE"</f>
        <v>EHPAD CH LE NOUVION-EN-THIÉRACHE</v>
      </c>
      <c r="C111" t="s">
        <v>68</v>
      </c>
    </row>
    <row r="112" spans="1:3" x14ac:dyDescent="0.25">
      <c r="A112" t="str">
        <f>"020007274"</f>
        <v>020007274</v>
      </c>
      <c r="B112" t="str">
        <f>"EHPAD ORPEA SOISSONS"</f>
        <v>EHPAD ORPEA SOISSONS</v>
      </c>
      <c r="C112" t="s">
        <v>68</v>
      </c>
    </row>
    <row r="113" spans="1:3" x14ac:dyDescent="0.25">
      <c r="A113" t="str">
        <f>"020007282"</f>
        <v>020007282</v>
      </c>
      <c r="B113" t="str">
        <f>"EHPAD ORPEA RÉSIDENCE LES BEAUX-ARTS"</f>
        <v>EHPAD ORPEA RÉSIDENCE LES BEAUX-ARTS</v>
      </c>
      <c r="C113" t="s">
        <v>68</v>
      </c>
    </row>
    <row r="114" spans="1:3" x14ac:dyDescent="0.25">
      <c r="A114" t="str">
        <f>"020007290"</f>
        <v>020007290</v>
      </c>
      <c r="B114" t="str">
        <f>"EHPAD ORPEA QUENTIN DE LA TOUR"</f>
        <v>EHPAD ORPEA QUENTIN DE LA TOUR</v>
      </c>
      <c r="C114" t="s">
        <v>68</v>
      </c>
    </row>
    <row r="115" spans="1:3" x14ac:dyDescent="0.25">
      <c r="A115" t="str">
        <f>"020007308"</f>
        <v>020007308</v>
      </c>
      <c r="B115" t="str">
        <f>"EHPAD ORPEA LA DORINE"</f>
        <v>EHPAD ORPEA LA DORINE</v>
      </c>
      <c r="C115" t="s">
        <v>68</v>
      </c>
    </row>
    <row r="116" spans="1:3" x14ac:dyDescent="0.25">
      <c r="A116" t="str">
        <f>"020008447"</f>
        <v>020008447</v>
      </c>
      <c r="B116" t="str">
        <f>"EHPAD RESIDENCE AUGUSTA"</f>
        <v>EHPAD RESIDENCE AUGUSTA</v>
      </c>
      <c r="C116" t="s">
        <v>68</v>
      </c>
    </row>
    <row r="117" spans="1:3" x14ac:dyDescent="0.25">
      <c r="A117" t="str">
        <f>"020009023"</f>
        <v>020009023</v>
      </c>
      <c r="B117" t="str">
        <f>"EHPAD ORPEA BEAUREVOIR"</f>
        <v>EHPAD ORPEA BEAUREVOIR</v>
      </c>
      <c r="C117" t="s">
        <v>68</v>
      </c>
    </row>
    <row r="118" spans="1:3" x14ac:dyDescent="0.25">
      <c r="A118" t="str">
        <f>"020009072"</f>
        <v>020009072</v>
      </c>
      <c r="B118" t="str">
        <f>"LE TIERS TEMPS SAINT-QUENTIN"</f>
        <v>LE TIERS TEMPS SAINT-QUENTIN</v>
      </c>
      <c r="C118" t="s">
        <v>68</v>
      </c>
    </row>
    <row r="119" spans="1:3" x14ac:dyDescent="0.25">
      <c r="A119" t="str">
        <f>"020009114"</f>
        <v>020009114</v>
      </c>
      <c r="B119" t="str">
        <f>"EHPAD BELLEVUE SAIN-GOBAIN"</f>
        <v>EHPAD BELLEVUE SAIN-GOBAIN</v>
      </c>
      <c r="C119" t="s">
        <v>68</v>
      </c>
    </row>
    <row r="120" spans="1:3" x14ac:dyDescent="0.25">
      <c r="A120" t="str">
        <f>"020009197"</f>
        <v>020009197</v>
      </c>
      <c r="B120" t="str">
        <f>"EHPAD VERMEIL SOISSONS"</f>
        <v>EHPAD VERMEIL SOISSONS</v>
      </c>
      <c r="C120" t="s">
        <v>68</v>
      </c>
    </row>
    <row r="121" spans="1:3" x14ac:dyDescent="0.25">
      <c r="A121" t="str">
        <f>"020009247"</f>
        <v>020009247</v>
      </c>
      <c r="B121" t="str">
        <f>"CHÂTEAU DE LA SOURCE"</f>
        <v>CHÂTEAU DE LA SOURCE</v>
      </c>
      <c r="C121" t="s">
        <v>68</v>
      </c>
    </row>
    <row r="122" spans="1:3" x14ac:dyDescent="0.25">
      <c r="A122" t="str">
        <f>"020009593"</f>
        <v>020009593</v>
      </c>
      <c r="B122" t="str">
        <f>"EHPAD ORPEA TERGNIER"</f>
        <v>EHPAD ORPEA TERGNIER</v>
      </c>
      <c r="C122" t="s">
        <v>68</v>
      </c>
    </row>
    <row r="123" spans="1:3" x14ac:dyDescent="0.25">
      <c r="A123" t="str">
        <f>"020010476"</f>
        <v>020010476</v>
      </c>
      <c r="B123" t="str">
        <f>"LES BOUTONS D'OR"</f>
        <v>LES BOUTONS D'OR</v>
      </c>
      <c r="C123" t="s">
        <v>68</v>
      </c>
    </row>
    <row r="124" spans="1:3" x14ac:dyDescent="0.25">
      <c r="A124" t="str">
        <f>"020010799"</f>
        <v>020010799</v>
      </c>
      <c r="B124" t="str">
        <f>"LES GLORIETTES"</f>
        <v>LES GLORIETTES</v>
      </c>
      <c r="C124" t="s">
        <v>68</v>
      </c>
    </row>
    <row r="125" spans="1:3" x14ac:dyDescent="0.25">
      <c r="A125" t="str">
        <f>"020010849"</f>
        <v>020010849</v>
      </c>
      <c r="B125" t="str">
        <f>"EHPAD ADEF LA VALLÉE-AU-BLÉ"</f>
        <v>EHPAD ADEF LA VALLÉE-AU-BLÉ</v>
      </c>
      <c r="C125" t="s">
        <v>68</v>
      </c>
    </row>
    <row r="126" spans="1:3" x14ac:dyDescent="0.25">
      <c r="A126" t="str">
        <f>"020012522"</f>
        <v>020012522</v>
      </c>
      <c r="B126" t="str">
        <f>"LA FONTAINE MÉDICIS"</f>
        <v>LA FONTAINE MÉDICIS</v>
      </c>
      <c r="C126" t="s">
        <v>68</v>
      </c>
    </row>
    <row r="127" spans="1:3" x14ac:dyDescent="0.25">
      <c r="A127" t="str">
        <f>"020012639"</f>
        <v>020012639</v>
      </c>
      <c r="B127" t="str">
        <f>"EHPAD LES TROIS CHENES"</f>
        <v>EHPAD LES TROIS CHENES</v>
      </c>
      <c r="C127" t="s">
        <v>68</v>
      </c>
    </row>
    <row r="128" spans="1:3" x14ac:dyDescent="0.25">
      <c r="A128" t="str">
        <f>"020012761"</f>
        <v>020012761</v>
      </c>
      <c r="B128" t="str">
        <f>"EHPAD EPMS CONDE EN BRIE"</f>
        <v>EHPAD EPMS CONDE EN BRIE</v>
      </c>
      <c r="C128" t="s">
        <v>68</v>
      </c>
    </row>
    <row r="129" spans="1:3" x14ac:dyDescent="0.25">
      <c r="A129" t="str">
        <f>"020012787"</f>
        <v>020012787</v>
      </c>
      <c r="B129" t="str">
        <f>"EHPAD EPMS MARCHAIS-EN-BRIE"</f>
        <v>EHPAD EPMS MARCHAIS-EN-BRIE</v>
      </c>
      <c r="C129" t="s">
        <v>68</v>
      </c>
    </row>
    <row r="130" spans="1:3" x14ac:dyDescent="0.25">
      <c r="A130" t="str">
        <f>"020012795"</f>
        <v>020012795</v>
      </c>
      <c r="B130" t="str">
        <f>"EHPAD EPMS BARZY-SUR-MARNE"</f>
        <v>EHPAD EPMS BARZY-SUR-MARNE</v>
      </c>
      <c r="C130" t="s">
        <v>68</v>
      </c>
    </row>
    <row r="131" spans="1:3" x14ac:dyDescent="0.25">
      <c r="A131" t="str">
        <f>"020014296"</f>
        <v>020014296</v>
      </c>
      <c r="B131" t="str">
        <f>"EHPAD CH SAINT-QUENTIN"</f>
        <v>EHPAD CH SAINT-QUENTIN</v>
      </c>
      <c r="C131" t="s">
        <v>68</v>
      </c>
    </row>
    <row r="132" spans="1:3" x14ac:dyDescent="0.25">
      <c r="A132" t="str">
        <f>"020014460"</f>
        <v>020014460</v>
      </c>
      <c r="B132" t="str">
        <f>"EHPAD COLISEE BRAINE"</f>
        <v>EHPAD COLISEE BRAINE</v>
      </c>
      <c r="C132" t="s">
        <v>68</v>
      </c>
    </row>
    <row r="133" spans="1:3" x14ac:dyDescent="0.25">
      <c r="A133" t="str">
        <f>"020014569"</f>
        <v>020014569</v>
      </c>
      <c r="B133" t="str">
        <f>"EHPAD ORPEA BRASLES"</f>
        <v>EHPAD ORPEA BRASLES</v>
      </c>
      <c r="C133" t="s">
        <v>68</v>
      </c>
    </row>
    <row r="134" spans="1:3" x14ac:dyDescent="0.25">
      <c r="A134" t="str">
        <f>"020014874"</f>
        <v>020014874</v>
      </c>
      <c r="B134" t="str">
        <f>"EHPAD BIEN VIEILLIR ROZOY-SUR-SERRE"</f>
        <v>EHPAD BIEN VIEILLIR ROZOY-SUR-SERRE</v>
      </c>
      <c r="C134" t="s">
        <v>68</v>
      </c>
    </row>
    <row r="135" spans="1:3" x14ac:dyDescent="0.25">
      <c r="A135" t="str">
        <f>"020014957"</f>
        <v>020014957</v>
      </c>
      <c r="B135" t="str">
        <f>"EHPAD RÉSIDENCE BORDS DE SOMME"</f>
        <v>EHPAD RÉSIDENCE BORDS DE SOMME</v>
      </c>
      <c r="C135" t="s">
        <v>68</v>
      </c>
    </row>
    <row r="136" spans="1:3" x14ac:dyDescent="0.25">
      <c r="A136" t="str">
        <f>"030001002"</f>
        <v>030001002</v>
      </c>
      <c r="B136" t="str">
        <f>"EHPAD 'VILLA PAISIBLE'"</f>
        <v>EHPAD 'VILLA PAISIBLE'</v>
      </c>
      <c r="C136" t="s">
        <v>61</v>
      </c>
    </row>
    <row r="137" spans="1:3" x14ac:dyDescent="0.25">
      <c r="A137" t="str">
        <f>"030001267"</f>
        <v>030001267</v>
      </c>
      <c r="B137" t="str">
        <f>"EHPAD VILLA PAUL THOMAS"</f>
        <v>EHPAD VILLA PAUL THOMAS</v>
      </c>
      <c r="C137" t="s">
        <v>61</v>
      </c>
    </row>
    <row r="138" spans="1:3" x14ac:dyDescent="0.25">
      <c r="A138" t="str">
        <f>"030004238"</f>
        <v>030004238</v>
      </c>
      <c r="B138" t="str">
        <f>"EHPAD LA CHARITE"</f>
        <v>EHPAD LA CHARITE</v>
      </c>
      <c r="C138" t="s">
        <v>61</v>
      </c>
    </row>
    <row r="139" spans="1:3" x14ac:dyDescent="0.25">
      <c r="A139" t="str">
        <f>"030004428"</f>
        <v>030004428</v>
      </c>
      <c r="B139" t="str">
        <f>"EHPAD LE JARDIN DES SOURCES"</f>
        <v>EHPAD LE JARDIN DES SOURCES</v>
      </c>
      <c r="C139" t="s">
        <v>61</v>
      </c>
    </row>
    <row r="140" spans="1:3" x14ac:dyDescent="0.25">
      <c r="A140" t="str">
        <f>"030005649"</f>
        <v>030005649</v>
      </c>
      <c r="B140" t="str">
        <f>"EHPAD DE COURTAIS"</f>
        <v>EHPAD DE COURTAIS</v>
      </c>
      <c r="C140" t="s">
        <v>61</v>
      </c>
    </row>
    <row r="141" spans="1:3" x14ac:dyDescent="0.25">
      <c r="A141" t="str">
        <f>"030005961"</f>
        <v>030005961</v>
      </c>
      <c r="B141" t="str">
        <f>"MAPAD DE LAKANAL"</f>
        <v>MAPAD DE LAKANAL</v>
      </c>
      <c r="C141" t="s">
        <v>61</v>
      </c>
    </row>
    <row r="142" spans="1:3" x14ac:dyDescent="0.25">
      <c r="A142" t="str">
        <f>"030007207"</f>
        <v>030007207</v>
      </c>
      <c r="B142" t="str">
        <f>"EHPAD LE PUY BESSEAU"</f>
        <v>EHPAD LE PUY BESSEAU</v>
      </c>
      <c r="C142" t="s">
        <v>61</v>
      </c>
    </row>
    <row r="143" spans="1:3" x14ac:dyDescent="0.25">
      <c r="A143" t="str">
        <f>"030780134"</f>
        <v>030780134</v>
      </c>
      <c r="B143" t="str">
        <f>"EHPAD PUBLIC DE CUSSET"</f>
        <v>EHPAD PUBLIC DE CUSSET</v>
      </c>
      <c r="C143" t="s">
        <v>61</v>
      </c>
    </row>
    <row r="144" spans="1:3" x14ac:dyDescent="0.25">
      <c r="A144" t="str">
        <f>"030780142"</f>
        <v>030780142</v>
      </c>
      <c r="B144" t="str">
        <f>"EHPAD FRANCOIS MITTERRAND"</f>
        <v>EHPAD FRANCOIS MITTERRAND</v>
      </c>
      <c r="C144" t="s">
        <v>61</v>
      </c>
    </row>
    <row r="145" spans="1:3" x14ac:dyDescent="0.25">
      <c r="A145" t="str">
        <f>"030780597"</f>
        <v>030780597</v>
      </c>
      <c r="B145" t="str">
        <f>"EHPAD PUBLIC DE CHANTELLE"</f>
        <v>EHPAD PUBLIC DE CHANTELLE</v>
      </c>
      <c r="C145" t="s">
        <v>61</v>
      </c>
    </row>
    <row r="146" spans="1:3" x14ac:dyDescent="0.25">
      <c r="A146" t="str">
        <f>"030780605"</f>
        <v>030780605</v>
      </c>
      <c r="B146" t="str">
        <f>"EHPAD DE GAYETTE"</f>
        <v>EHPAD DE GAYETTE</v>
      </c>
      <c r="C146" t="s">
        <v>61</v>
      </c>
    </row>
    <row r="147" spans="1:3" x14ac:dyDescent="0.25">
      <c r="A147" t="str">
        <f>"030780662"</f>
        <v>030780662</v>
      </c>
      <c r="B147" t="str">
        <f>"EHPAD 'LA CHARMILLE'"</f>
        <v>EHPAD 'LA CHARMILLE'</v>
      </c>
      <c r="C147" t="s">
        <v>61</v>
      </c>
    </row>
    <row r="148" spans="1:3" x14ac:dyDescent="0.25">
      <c r="A148" t="str">
        <f>"030780720"</f>
        <v>030780720</v>
      </c>
      <c r="B148" t="str">
        <f>"EHPAD D'EBREUIL"</f>
        <v>EHPAD D'EBREUIL</v>
      </c>
      <c r="C148" t="s">
        <v>61</v>
      </c>
    </row>
    <row r="149" spans="1:3" x14ac:dyDescent="0.25">
      <c r="A149" t="str">
        <f>"030780761"</f>
        <v>030780761</v>
      </c>
      <c r="B149" t="str">
        <f>"EHPAD FRANCOIS GREZE - LAPALISSE"</f>
        <v>EHPAD FRANCOIS GREZE - LAPALISSE</v>
      </c>
      <c r="C149" t="s">
        <v>61</v>
      </c>
    </row>
    <row r="150" spans="1:3" x14ac:dyDescent="0.25">
      <c r="A150" t="str">
        <f>"030780928"</f>
        <v>030780928</v>
      </c>
      <c r="B150" t="str">
        <f>"EHPAD 'PIERRE MASSEBOEUF'"</f>
        <v>EHPAD 'PIERRE MASSEBOEUF'</v>
      </c>
      <c r="C150" t="s">
        <v>61</v>
      </c>
    </row>
    <row r="151" spans="1:3" x14ac:dyDescent="0.25">
      <c r="A151" t="str">
        <f>"030780936"</f>
        <v>030780936</v>
      </c>
      <c r="B151" t="str">
        <f>"EHPAD LA VIGNE AU BOIS"</f>
        <v>EHPAD LA VIGNE AU BOIS</v>
      </c>
      <c r="C151" t="s">
        <v>61</v>
      </c>
    </row>
    <row r="152" spans="1:3" x14ac:dyDescent="0.25">
      <c r="A152" t="str">
        <f>"030780944"</f>
        <v>030780944</v>
      </c>
      <c r="B152" t="str">
        <f>"EHPAD DE COSNE D'ALLIER"</f>
        <v>EHPAD DE COSNE D'ALLIER</v>
      </c>
      <c r="C152" t="s">
        <v>61</v>
      </c>
    </row>
    <row r="153" spans="1:3" x14ac:dyDescent="0.25">
      <c r="A153" t="str">
        <f>"030780951"</f>
        <v>030780951</v>
      </c>
      <c r="B153" t="str">
        <f>"EHPAD 'LES CORDELIERS'"</f>
        <v>EHPAD 'LES CORDELIERS'</v>
      </c>
      <c r="C153" t="s">
        <v>61</v>
      </c>
    </row>
    <row r="154" spans="1:3" x14ac:dyDescent="0.25">
      <c r="A154" t="str">
        <f>"030780969"</f>
        <v>030780969</v>
      </c>
      <c r="B154" t="str">
        <f>"EHPAD JOUHET-DURANTHON"</f>
        <v>EHPAD JOUHET-DURANTHON</v>
      </c>
      <c r="C154" t="s">
        <v>61</v>
      </c>
    </row>
    <row r="155" spans="1:3" x14ac:dyDescent="0.25">
      <c r="A155" t="str">
        <f>"030780977"</f>
        <v>030780977</v>
      </c>
      <c r="B155" t="str">
        <f>"EHPAD D'HERISSON"</f>
        <v>EHPAD D'HERISSON</v>
      </c>
      <c r="C155" t="s">
        <v>61</v>
      </c>
    </row>
    <row r="156" spans="1:3" x14ac:dyDescent="0.25">
      <c r="A156" t="str">
        <f>"030780985"</f>
        <v>030780985</v>
      </c>
      <c r="B156" t="str">
        <f>"EHPAD DU PAYS DE LEVIS"</f>
        <v>EHPAD DU PAYS DE LEVIS</v>
      </c>
      <c r="C156" t="s">
        <v>61</v>
      </c>
    </row>
    <row r="157" spans="1:3" x14ac:dyDescent="0.25">
      <c r="A157" t="str">
        <f>"030780993"</f>
        <v>030780993</v>
      </c>
      <c r="B157" t="str">
        <f>"EHPAD 'RESIDENCE EMERAUDE'"</f>
        <v>EHPAD 'RESIDENCE EMERAUDE'</v>
      </c>
      <c r="C157" t="s">
        <v>61</v>
      </c>
    </row>
    <row r="158" spans="1:3" x14ac:dyDescent="0.25">
      <c r="A158" t="str">
        <f>"030781009"</f>
        <v>030781009</v>
      </c>
      <c r="B158" t="str">
        <f>"EHPAD ROGER BESSON"</f>
        <v>EHPAD ROGER BESSON</v>
      </c>
      <c r="C158" t="s">
        <v>61</v>
      </c>
    </row>
    <row r="159" spans="1:3" x14ac:dyDescent="0.25">
      <c r="A159" t="str">
        <f>"030781405"</f>
        <v>030781405</v>
      </c>
      <c r="B159" t="str">
        <f>"EHPAD SAINT JOSEPH"</f>
        <v>EHPAD SAINT JOSEPH</v>
      </c>
      <c r="C159" t="s">
        <v>61</v>
      </c>
    </row>
    <row r="160" spans="1:3" x14ac:dyDescent="0.25">
      <c r="A160" t="str">
        <f>"030781413"</f>
        <v>030781413</v>
      </c>
      <c r="B160" t="str">
        <f>"EHPAD SAINT FRANCOIS"</f>
        <v>EHPAD SAINT FRANCOIS</v>
      </c>
      <c r="C160" t="s">
        <v>61</v>
      </c>
    </row>
    <row r="161" spans="1:3" x14ac:dyDescent="0.25">
      <c r="A161" t="str">
        <f>"030781629"</f>
        <v>030781629</v>
      </c>
      <c r="B161" t="str">
        <f>"MR CHANT'ALOUETTE"</f>
        <v>MR CHANT'ALOUETTE</v>
      </c>
      <c r="C161" t="s">
        <v>61</v>
      </c>
    </row>
    <row r="162" spans="1:3" x14ac:dyDescent="0.25">
      <c r="A162" t="str">
        <f>"030782569"</f>
        <v>030782569</v>
      </c>
      <c r="B162" t="str">
        <f>"EHPAD RESIDENCE LES CEDRES"</f>
        <v>EHPAD RESIDENCE LES CEDRES</v>
      </c>
      <c r="C162" t="s">
        <v>61</v>
      </c>
    </row>
    <row r="163" spans="1:3" x14ac:dyDescent="0.25">
      <c r="A163" t="str">
        <f>"030782585"</f>
        <v>030782585</v>
      </c>
      <c r="B163" t="str">
        <f>"RESIDENCE LES JARDINS DE VENDAT"</f>
        <v>RESIDENCE LES JARDINS DE VENDAT</v>
      </c>
      <c r="C163" t="s">
        <v>61</v>
      </c>
    </row>
    <row r="164" spans="1:3" x14ac:dyDescent="0.25">
      <c r="A164" t="str">
        <f>"030782593"</f>
        <v>030782593</v>
      </c>
      <c r="B164" t="str">
        <f>"EHPAD 'JEANNE COULON'"</f>
        <v>EHPAD 'JEANNE COULON'</v>
      </c>
      <c r="C164" t="s">
        <v>61</v>
      </c>
    </row>
    <row r="165" spans="1:3" x14ac:dyDescent="0.25">
      <c r="A165" t="str">
        <f>"030782601"</f>
        <v>030782601</v>
      </c>
      <c r="B165" t="str">
        <f>"EHPAD 'SAINT LOUIS'"</f>
        <v>EHPAD 'SAINT LOUIS'</v>
      </c>
      <c r="C165" t="s">
        <v>61</v>
      </c>
    </row>
    <row r="166" spans="1:3" x14ac:dyDescent="0.25">
      <c r="A166" t="str">
        <f>"030782619"</f>
        <v>030782619</v>
      </c>
      <c r="B166" t="str">
        <f>"EHPAD 'VILLARS ACCUEIL'"</f>
        <v>EHPAD 'VILLARS ACCUEIL'</v>
      </c>
      <c r="C166" t="s">
        <v>61</v>
      </c>
    </row>
    <row r="167" spans="1:3" x14ac:dyDescent="0.25">
      <c r="A167" t="str">
        <f>"030782627"</f>
        <v>030782627</v>
      </c>
      <c r="B167" t="str">
        <f>"EHPAD 'LE LYS'"</f>
        <v>EHPAD 'LE LYS'</v>
      </c>
      <c r="C167" t="s">
        <v>61</v>
      </c>
    </row>
    <row r="168" spans="1:3" x14ac:dyDescent="0.25">
      <c r="A168" t="str">
        <f>"030782643"</f>
        <v>030782643</v>
      </c>
      <c r="B168" t="str">
        <f>"EHPAD 'L'ERMITAGE'"</f>
        <v>EHPAD 'L'ERMITAGE'</v>
      </c>
      <c r="C168" t="s">
        <v>61</v>
      </c>
    </row>
    <row r="169" spans="1:3" x14ac:dyDescent="0.25">
      <c r="A169" t="str">
        <f>"030783013"</f>
        <v>030783013</v>
      </c>
      <c r="B169" t="str">
        <f>"RESIDENCE DU PARC"</f>
        <v>RESIDENCE DU PARC</v>
      </c>
      <c r="C169" t="s">
        <v>61</v>
      </c>
    </row>
    <row r="170" spans="1:3" x14ac:dyDescent="0.25">
      <c r="A170" t="str">
        <f>"030783229"</f>
        <v>030783229</v>
      </c>
      <c r="B170" t="str">
        <f>"EHPAD LA MAISON DES AURES ST-GERMAIN"</f>
        <v>EHPAD LA MAISON DES AURES ST-GERMAIN</v>
      </c>
      <c r="C170" t="s">
        <v>61</v>
      </c>
    </row>
    <row r="171" spans="1:3" x14ac:dyDescent="0.25">
      <c r="A171" t="str">
        <f>"030783351"</f>
        <v>030783351</v>
      </c>
      <c r="B171" t="str">
        <f>"EHPAD LA SOURCE SOUVIGNY"</f>
        <v>EHPAD LA SOURCE SOUVIGNY</v>
      </c>
      <c r="C171" t="s">
        <v>61</v>
      </c>
    </row>
    <row r="172" spans="1:3" x14ac:dyDescent="0.25">
      <c r="A172" t="str">
        <f>"030783880"</f>
        <v>030783880</v>
      </c>
      <c r="B172" t="str">
        <f>"EHPAD DU CH DE MOULINS-YZEURE"</f>
        <v>EHPAD DU CH DE MOULINS-YZEURE</v>
      </c>
      <c r="C172" t="s">
        <v>61</v>
      </c>
    </row>
    <row r="173" spans="1:3" x14ac:dyDescent="0.25">
      <c r="A173" t="str">
        <f>"030784136"</f>
        <v>030784136</v>
      </c>
      <c r="B173" t="str">
        <f>"EHPAD DU CH DE BOURBON L'ARCHAMBAULT"</f>
        <v>EHPAD DU CH DE BOURBON L'ARCHAMBAULT</v>
      </c>
      <c r="C173" t="s">
        <v>61</v>
      </c>
    </row>
    <row r="174" spans="1:3" x14ac:dyDescent="0.25">
      <c r="A174" t="str">
        <f>"030784169"</f>
        <v>030784169</v>
      </c>
      <c r="B174" t="str">
        <f>"EHPAD CH COEUR DU BOURBONNAIS"</f>
        <v>EHPAD CH COEUR DU BOURBONNAIS</v>
      </c>
      <c r="C174" t="s">
        <v>61</v>
      </c>
    </row>
    <row r="175" spans="1:3" x14ac:dyDescent="0.25">
      <c r="A175" t="str">
        <f>"030785026"</f>
        <v>030785026</v>
      </c>
      <c r="B175" t="str">
        <f>"EHPAD LE BELLERIVE"</f>
        <v>EHPAD LE BELLERIVE</v>
      </c>
      <c r="C175" t="s">
        <v>61</v>
      </c>
    </row>
    <row r="176" spans="1:3" x14ac:dyDescent="0.25">
      <c r="A176" t="str">
        <f>"030785216"</f>
        <v>030785216</v>
      </c>
      <c r="B176" t="str">
        <f>"EHPAD CH NERIS LES BAINS"</f>
        <v>EHPAD CH NERIS LES BAINS</v>
      </c>
      <c r="C176" t="s">
        <v>61</v>
      </c>
    </row>
    <row r="177" spans="1:3" x14ac:dyDescent="0.25">
      <c r="A177" t="str">
        <f>"030785414"</f>
        <v>030785414</v>
      </c>
      <c r="B177" t="str">
        <f>"EHPAD LA CHESNAYE"</f>
        <v>EHPAD LA CHESNAYE</v>
      </c>
      <c r="C177" t="s">
        <v>61</v>
      </c>
    </row>
    <row r="178" spans="1:3" x14ac:dyDescent="0.25">
      <c r="A178" t="str">
        <f>"030785497"</f>
        <v>030785497</v>
      </c>
      <c r="B178" t="str">
        <f>"EHPAD ' LA GLORIETTE'"</f>
        <v>EHPAD ' LA GLORIETTE'</v>
      </c>
      <c r="C178" t="s">
        <v>61</v>
      </c>
    </row>
    <row r="179" spans="1:3" x14ac:dyDescent="0.25">
      <c r="A179" t="str">
        <f>"030785539"</f>
        <v>030785539</v>
      </c>
      <c r="B179" t="str">
        <f>"EHPAD 'LE VERT GALANT'"</f>
        <v>EHPAD 'LE VERT GALANT'</v>
      </c>
      <c r="C179" t="s">
        <v>61</v>
      </c>
    </row>
    <row r="180" spans="1:3" x14ac:dyDescent="0.25">
      <c r="A180" t="str">
        <f>"030785679"</f>
        <v>030785679</v>
      </c>
      <c r="B180" t="str">
        <f>"EHPAD LES MARINIERS"</f>
        <v>EHPAD LES MARINIERS</v>
      </c>
      <c r="C180" t="s">
        <v>61</v>
      </c>
    </row>
    <row r="181" spans="1:3" x14ac:dyDescent="0.25">
      <c r="A181" t="str">
        <f>"030785737"</f>
        <v>030785737</v>
      </c>
      <c r="B181" t="str">
        <f>"EHPAD LES VIGNES"</f>
        <v>EHPAD LES VIGNES</v>
      </c>
      <c r="C181" t="s">
        <v>61</v>
      </c>
    </row>
    <row r="182" spans="1:3" x14ac:dyDescent="0.25">
      <c r="A182" t="str">
        <f>"030785778"</f>
        <v>030785778</v>
      </c>
      <c r="B182" t="str">
        <f>"EHPAD 'L'HERMITAGE'"</f>
        <v>EHPAD 'L'HERMITAGE'</v>
      </c>
      <c r="C182" t="s">
        <v>61</v>
      </c>
    </row>
    <row r="183" spans="1:3" x14ac:dyDescent="0.25">
      <c r="A183" t="str">
        <f>"030786396"</f>
        <v>030786396</v>
      </c>
      <c r="B183" t="str">
        <f>"EHPAD 'LES GRANDS PRES'"</f>
        <v>EHPAD 'LES GRANDS PRES'</v>
      </c>
      <c r="C183" t="s">
        <v>61</v>
      </c>
    </row>
    <row r="184" spans="1:3" x14ac:dyDescent="0.25">
      <c r="A184" t="str">
        <f>"040001869"</f>
        <v>040001869</v>
      </c>
      <c r="B184" t="str">
        <f>"EHPAD L'ETOILE DE HAUTE PROVENCE"</f>
        <v>EHPAD L'ETOILE DE HAUTE PROVENCE</v>
      </c>
      <c r="C184" t="s">
        <v>76</v>
      </c>
    </row>
    <row r="185" spans="1:3" x14ac:dyDescent="0.25">
      <c r="A185" t="str">
        <f>"040002289"</f>
        <v>040002289</v>
      </c>
      <c r="B185" t="str">
        <f>"EHPAD LES CARMES"</f>
        <v>EHPAD LES CARMES</v>
      </c>
      <c r="C185" t="s">
        <v>76</v>
      </c>
    </row>
    <row r="186" spans="1:3" x14ac:dyDescent="0.25">
      <c r="A186" t="str">
        <f>"040003899"</f>
        <v>040003899</v>
      </c>
      <c r="B186" t="str">
        <f>"EHPAD L'OUSTAOU DE LURE"</f>
        <v>EHPAD L'OUSTAOU DE LURE</v>
      </c>
      <c r="C186" t="s">
        <v>76</v>
      </c>
    </row>
    <row r="187" spans="1:3" x14ac:dyDescent="0.25">
      <c r="A187" t="str">
        <f>"040004228"</f>
        <v>040004228</v>
      </c>
      <c r="B187" t="str">
        <f>"EHPAD LE VERDON"</f>
        <v>EHPAD LE VERDON</v>
      </c>
      <c r="C187" t="s">
        <v>76</v>
      </c>
    </row>
    <row r="188" spans="1:3" x14ac:dyDescent="0.25">
      <c r="A188" t="str">
        <f>"040004301"</f>
        <v>040004301</v>
      </c>
      <c r="B188" t="str">
        <f>"EHPAD LES JARDINS DU CIGALOUN"</f>
        <v>EHPAD LES JARDINS DU CIGALOUN</v>
      </c>
      <c r="C188" t="s">
        <v>76</v>
      </c>
    </row>
    <row r="189" spans="1:3" x14ac:dyDescent="0.25">
      <c r="A189" t="str">
        <f>"040780702"</f>
        <v>040780702</v>
      </c>
      <c r="B189" t="str">
        <f>"EHPAD FERNAND TARDY"</f>
        <v>EHPAD FERNAND TARDY</v>
      </c>
      <c r="C189" t="s">
        <v>76</v>
      </c>
    </row>
    <row r="190" spans="1:3" x14ac:dyDescent="0.25">
      <c r="A190" t="str">
        <f>"040780884"</f>
        <v>040780884</v>
      </c>
      <c r="B190" t="str">
        <f>"EHPAD LA VALLEE DES CARLINES"</f>
        <v>EHPAD LA VALLEE DES CARLINES</v>
      </c>
      <c r="C190" t="s">
        <v>76</v>
      </c>
    </row>
    <row r="191" spans="1:3" x14ac:dyDescent="0.25">
      <c r="A191" t="str">
        <f>"040780892"</f>
        <v>040780892</v>
      </c>
      <c r="B191" t="str">
        <f>"EHPAD DU LUBERON LE RAMEAU D'OR"</f>
        <v>EHPAD DU LUBERON LE RAMEAU D'OR</v>
      </c>
      <c r="C191" t="s">
        <v>76</v>
      </c>
    </row>
    <row r="192" spans="1:3" x14ac:dyDescent="0.25">
      <c r="A192" t="str">
        <f>"040780900"</f>
        <v>040780900</v>
      </c>
      <c r="B192" t="str">
        <f>"EHPAD NOTRE DAME DU BOURG-ST MARTIN"</f>
        <v>EHPAD NOTRE DAME DU BOURG-ST MARTIN</v>
      </c>
      <c r="C192" t="s">
        <v>76</v>
      </c>
    </row>
    <row r="193" spans="1:3" x14ac:dyDescent="0.25">
      <c r="A193" t="str">
        <f>"040780918"</f>
        <v>040780918</v>
      </c>
      <c r="B193" t="str">
        <f>"EHPAD SAINT DOMNIN"</f>
        <v>EHPAD SAINT DOMNIN</v>
      </c>
      <c r="C193" t="s">
        <v>76</v>
      </c>
    </row>
    <row r="194" spans="1:3" x14ac:dyDescent="0.25">
      <c r="A194" t="str">
        <f>"040781023"</f>
        <v>040781023</v>
      </c>
      <c r="B194" t="str">
        <f>"EHPAD L' EPI BLEU"</f>
        <v>EHPAD L' EPI BLEU</v>
      </c>
      <c r="C194" t="s">
        <v>76</v>
      </c>
    </row>
    <row r="195" spans="1:3" x14ac:dyDescent="0.25">
      <c r="A195" t="str">
        <f>"040785065"</f>
        <v>040785065</v>
      </c>
      <c r="B195" t="str">
        <f>"RESIDENCE PAUL CEZANNE"</f>
        <v>RESIDENCE PAUL CEZANNE</v>
      </c>
      <c r="C195" t="s">
        <v>76</v>
      </c>
    </row>
    <row r="196" spans="1:3" x14ac:dyDescent="0.25">
      <c r="A196" t="str">
        <f>"040785412"</f>
        <v>040785412</v>
      </c>
      <c r="B196" t="str">
        <f>"EHPAD PAUL HONNORAT"</f>
        <v>EHPAD PAUL HONNORAT</v>
      </c>
      <c r="C196" t="s">
        <v>76</v>
      </c>
    </row>
    <row r="197" spans="1:3" x14ac:dyDescent="0.25">
      <c r="A197" t="str">
        <f>"040785529"</f>
        <v>040785529</v>
      </c>
      <c r="B197" t="str">
        <f>"EHPAD LE CROU DE BANE"</f>
        <v>EHPAD LE CROU DE BANE</v>
      </c>
      <c r="C197" t="s">
        <v>76</v>
      </c>
    </row>
    <row r="198" spans="1:3" x14ac:dyDescent="0.25">
      <c r="A198" t="str">
        <f>"040785628"</f>
        <v>040785628</v>
      </c>
      <c r="B198" t="str">
        <f>"EHPAD DE L'EPS DUCELIA"</f>
        <v>EHPAD DE L'EPS DUCELIA</v>
      </c>
      <c r="C198" t="s">
        <v>76</v>
      </c>
    </row>
    <row r="199" spans="1:3" x14ac:dyDescent="0.25">
      <c r="A199" t="str">
        <f>"040785677"</f>
        <v>040785677</v>
      </c>
      <c r="B199" t="str">
        <f>"EHPAD RESIDENCE LE PARC"</f>
        <v>EHPAD RESIDENCE LE PARC</v>
      </c>
      <c r="C199" t="s">
        <v>76</v>
      </c>
    </row>
    <row r="200" spans="1:3" x14ac:dyDescent="0.25">
      <c r="A200" t="str">
        <f>"040785727"</f>
        <v>040785727</v>
      </c>
      <c r="B200" t="str">
        <f>"EHPAD SAINT MICHEL FORCALQUIER"</f>
        <v>EHPAD SAINT MICHEL FORCALQUIER</v>
      </c>
      <c r="C200" t="s">
        <v>76</v>
      </c>
    </row>
    <row r="201" spans="1:3" x14ac:dyDescent="0.25">
      <c r="A201" t="str">
        <f>"040785776"</f>
        <v>040785776</v>
      </c>
      <c r="B201" t="str">
        <f>"EHPAD SAINTE-ANNE"</f>
        <v>EHPAD SAINTE-ANNE</v>
      </c>
      <c r="C201" t="s">
        <v>76</v>
      </c>
    </row>
    <row r="202" spans="1:3" x14ac:dyDescent="0.25">
      <c r="A202" t="str">
        <f>"040785826"</f>
        <v>040785826</v>
      </c>
      <c r="B202" t="str">
        <f>"EHPAD LOU CIGALOU"</f>
        <v>EHPAD LOU CIGALOU</v>
      </c>
      <c r="C202" t="s">
        <v>76</v>
      </c>
    </row>
    <row r="203" spans="1:3" x14ac:dyDescent="0.25">
      <c r="A203" t="str">
        <f>"040785875"</f>
        <v>040785875</v>
      </c>
      <c r="B203" t="str">
        <f>"EHPAD RESIDENCE LES TILLEULS"</f>
        <v>EHPAD RESIDENCE LES TILLEULS</v>
      </c>
      <c r="C203" t="s">
        <v>76</v>
      </c>
    </row>
    <row r="204" spans="1:3" x14ac:dyDescent="0.25">
      <c r="A204" t="str">
        <f>"040785925"</f>
        <v>040785925</v>
      </c>
      <c r="B204" t="str">
        <f>"EHPAD L'OUSTAOU"</f>
        <v>EHPAD L'OUSTAOU</v>
      </c>
      <c r="C204" t="s">
        <v>76</v>
      </c>
    </row>
    <row r="205" spans="1:3" x14ac:dyDescent="0.25">
      <c r="A205" t="str">
        <f>"040785974"</f>
        <v>040785974</v>
      </c>
      <c r="B205" t="str">
        <f>"EHPAD EPS VALLEE DE LA BLANCHE"</f>
        <v>EHPAD EPS VALLEE DE LA BLANCHE</v>
      </c>
      <c r="C205" t="s">
        <v>76</v>
      </c>
    </row>
    <row r="206" spans="1:3" x14ac:dyDescent="0.25">
      <c r="A206" t="str">
        <f>"040786022"</f>
        <v>040786022</v>
      </c>
      <c r="B206" t="str">
        <f>"EHPAD LE VALENSOLEILLE"</f>
        <v>EHPAD LE VALENSOLEILLE</v>
      </c>
      <c r="C206" t="s">
        <v>76</v>
      </c>
    </row>
    <row r="207" spans="1:3" x14ac:dyDescent="0.25">
      <c r="A207" t="str">
        <f>"040786972"</f>
        <v>040786972</v>
      </c>
      <c r="B207" t="str">
        <f>"EHPAD ST ANDRE CHI MANOSQUE"</f>
        <v>EHPAD ST ANDRE CHI MANOSQUE</v>
      </c>
      <c r="C207" t="s">
        <v>76</v>
      </c>
    </row>
    <row r="208" spans="1:3" x14ac:dyDescent="0.25">
      <c r="A208" t="str">
        <f>"040787020"</f>
        <v>040787020</v>
      </c>
      <c r="B208" t="str">
        <f>"EHPAD LES CIGALINES"</f>
        <v>EHPAD LES CIGALINES</v>
      </c>
      <c r="C208" t="s">
        <v>76</v>
      </c>
    </row>
    <row r="209" spans="1:3" x14ac:dyDescent="0.25">
      <c r="A209" t="str">
        <f>"040787129"</f>
        <v>040787129</v>
      </c>
      <c r="B209" t="str">
        <f>"EHPAD EPS P.GROUES BARCELONNETTE"</f>
        <v>EHPAD EPS P.GROUES BARCELONNETTE</v>
      </c>
      <c r="C209" t="s">
        <v>76</v>
      </c>
    </row>
    <row r="210" spans="1:3" x14ac:dyDescent="0.25">
      <c r="A210" t="str">
        <f>"040788234"</f>
        <v>040788234</v>
      </c>
      <c r="B210" t="str">
        <f>"EHPAD LES LAVANDINES"</f>
        <v>EHPAD LES LAVANDINES</v>
      </c>
      <c r="C210" t="s">
        <v>76</v>
      </c>
    </row>
    <row r="211" spans="1:3" x14ac:dyDescent="0.25">
      <c r="A211" t="str">
        <f>"040788689"</f>
        <v>040788689</v>
      </c>
      <c r="B211" t="str">
        <f>"EHPAD LES CEDRES"</f>
        <v>EHPAD LES CEDRES</v>
      </c>
      <c r="C211" t="s">
        <v>76</v>
      </c>
    </row>
    <row r="212" spans="1:3" x14ac:dyDescent="0.25">
      <c r="A212" t="str">
        <f>"040788861"</f>
        <v>040788861</v>
      </c>
      <c r="B212" t="str">
        <f>"EHPAD RESIDENCE DU LAC"</f>
        <v>EHPAD RESIDENCE DU LAC</v>
      </c>
      <c r="C212" t="s">
        <v>76</v>
      </c>
    </row>
    <row r="213" spans="1:3" x14ac:dyDescent="0.25">
      <c r="A213" t="str">
        <f>"040788903"</f>
        <v>040788903</v>
      </c>
      <c r="B213" t="str">
        <f>"EHPAD RESIDENCE BELLES FONTAINES"</f>
        <v>EHPAD RESIDENCE BELLES FONTAINES</v>
      </c>
      <c r="C213" t="s">
        <v>76</v>
      </c>
    </row>
    <row r="214" spans="1:3" x14ac:dyDescent="0.25">
      <c r="A214" t="str">
        <f>"040789075"</f>
        <v>040789075</v>
      </c>
      <c r="B214" t="str">
        <f>"EHPAD LOU SEREN"</f>
        <v>EHPAD LOU SEREN</v>
      </c>
      <c r="C214" t="s">
        <v>76</v>
      </c>
    </row>
    <row r="215" spans="1:3" x14ac:dyDescent="0.25">
      <c r="A215" t="str">
        <f>"040789240"</f>
        <v>040789240</v>
      </c>
      <c r="B215" t="str">
        <f>"EHPAD N.D. DU BOURG -SITE DU BOURG"</f>
        <v>EHPAD N.D. DU BOURG -SITE DU BOURG</v>
      </c>
      <c r="C215" t="s">
        <v>76</v>
      </c>
    </row>
    <row r="216" spans="1:3" x14ac:dyDescent="0.25">
      <c r="A216" t="str">
        <f>"050001494"</f>
        <v>050001494</v>
      </c>
      <c r="B216" t="str">
        <f>"EHPAD LA MEIJE"</f>
        <v>EHPAD LA MEIJE</v>
      </c>
      <c r="C216" t="s">
        <v>76</v>
      </c>
    </row>
    <row r="217" spans="1:3" x14ac:dyDescent="0.25">
      <c r="A217" t="str">
        <f>"050001601"</f>
        <v>050001601</v>
      </c>
      <c r="B217" t="str">
        <f>"EHPAD LES ROCHES D'OR"</f>
        <v>EHPAD LES ROCHES D'OR</v>
      </c>
      <c r="C217" t="s">
        <v>76</v>
      </c>
    </row>
    <row r="218" spans="1:3" x14ac:dyDescent="0.25">
      <c r="A218" t="str">
        <f>"050001833"</f>
        <v>050001833</v>
      </c>
      <c r="B218" t="str">
        <f>"EHPAD LES CHANTERELLES"</f>
        <v>EHPAD LES CHANTERELLES</v>
      </c>
      <c r="C218" t="s">
        <v>76</v>
      </c>
    </row>
    <row r="219" spans="1:3" x14ac:dyDescent="0.25">
      <c r="A219" t="str">
        <f>"050001841"</f>
        <v>050001841</v>
      </c>
      <c r="B219" t="str">
        <f>"LES SABOTS DE VENUS - CH D'AIGUILLES"</f>
        <v>LES SABOTS DE VENUS - CH D'AIGUILLES</v>
      </c>
      <c r="C219" t="s">
        <v>76</v>
      </c>
    </row>
    <row r="220" spans="1:3" x14ac:dyDescent="0.25">
      <c r="A220" t="str">
        <f>"050001858"</f>
        <v>050001858</v>
      </c>
      <c r="B220" t="str">
        <f>"EHPAD CHABRE"</f>
        <v>EHPAD CHABRE</v>
      </c>
      <c r="C220" t="s">
        <v>76</v>
      </c>
    </row>
    <row r="221" spans="1:3" x14ac:dyDescent="0.25">
      <c r="A221" t="str">
        <f>"050002047"</f>
        <v>050002047</v>
      </c>
      <c r="B221" t="str">
        <f>"EHPAD AUGUSTIN GUILLAUME"</f>
        <v>EHPAD AUGUSTIN GUILLAUME</v>
      </c>
      <c r="C221" t="s">
        <v>76</v>
      </c>
    </row>
    <row r="222" spans="1:3" x14ac:dyDescent="0.25">
      <c r="A222" t="str">
        <f>"050002054"</f>
        <v>050002054</v>
      </c>
      <c r="B222" t="str">
        <f>"EHPAD FRANCOIS PAVIE"</f>
        <v>EHPAD FRANCOIS PAVIE</v>
      </c>
      <c r="C222" t="s">
        <v>76</v>
      </c>
    </row>
    <row r="223" spans="1:3" x14ac:dyDescent="0.25">
      <c r="A223" t="str">
        <f>"050002062"</f>
        <v>050002062</v>
      </c>
      <c r="B223" t="str">
        <f>"EHPAD RESIDENCE LE DRAC"</f>
        <v>EHPAD RESIDENCE LE DRAC</v>
      </c>
      <c r="C223" t="s">
        <v>76</v>
      </c>
    </row>
    <row r="224" spans="1:3" x14ac:dyDescent="0.25">
      <c r="A224" t="str">
        <f>"050002138"</f>
        <v>050002138</v>
      </c>
      <c r="B224" t="str">
        <f>"EHPAD  LES TROIS FONTAINES"</f>
        <v>EHPAD  LES TROIS FONTAINES</v>
      </c>
      <c r="C224" t="s">
        <v>76</v>
      </c>
    </row>
    <row r="225" spans="1:3" x14ac:dyDescent="0.25">
      <c r="A225" t="str">
        <f>"050003029"</f>
        <v>050003029</v>
      </c>
      <c r="B225" t="str">
        <f>"EHPAD JEAN MARTIN"</f>
        <v>EHPAD JEAN MARTIN</v>
      </c>
      <c r="C225" t="s">
        <v>76</v>
      </c>
    </row>
    <row r="226" spans="1:3" x14ac:dyDescent="0.25">
      <c r="A226" t="str">
        <f>"050003268"</f>
        <v>050003268</v>
      </c>
      <c r="B226" t="str">
        <f>"EHPAD TIERS TEMPS"</f>
        <v>EHPAD TIERS TEMPS</v>
      </c>
      <c r="C226" t="s">
        <v>76</v>
      </c>
    </row>
    <row r="227" spans="1:3" x14ac:dyDescent="0.25">
      <c r="A227" t="str">
        <f>"050003318"</f>
        <v>050003318</v>
      </c>
      <c r="B227" t="str">
        <f>"EHPAD BONNEDONNE"</f>
        <v>EHPAD BONNEDONNE</v>
      </c>
      <c r="C227" t="s">
        <v>76</v>
      </c>
    </row>
    <row r="228" spans="1:3" x14ac:dyDescent="0.25">
      <c r="A228" t="str">
        <f>"050003599"</f>
        <v>050003599</v>
      </c>
      <c r="B228" t="str">
        <f>"EHPAD LE DRAC SITE LA SEVERAISSE"</f>
        <v>EHPAD LE DRAC SITE LA SEVERAISSE</v>
      </c>
      <c r="C228" t="s">
        <v>76</v>
      </c>
    </row>
    <row r="229" spans="1:3" x14ac:dyDescent="0.25">
      <c r="A229" t="str">
        <f>"050004589"</f>
        <v>050004589</v>
      </c>
      <c r="B229" t="str">
        <f>"EHPAD MONT SOLEIL"</f>
        <v>EHPAD MONT SOLEIL</v>
      </c>
      <c r="C229" t="s">
        <v>76</v>
      </c>
    </row>
    <row r="230" spans="1:3" x14ac:dyDescent="0.25">
      <c r="A230" t="str">
        <f>"050005230"</f>
        <v>050005230</v>
      </c>
      <c r="B230" t="str">
        <f>"EHPAD PLEIN SUD"</f>
        <v>EHPAD PLEIN SUD</v>
      </c>
      <c r="C230" t="s">
        <v>76</v>
      </c>
    </row>
    <row r="231" spans="1:3" x14ac:dyDescent="0.25">
      <c r="A231" t="str">
        <f>"050005438"</f>
        <v>050005438</v>
      </c>
      <c r="B231" t="str">
        <f>"MAISON DE RETRAITE LOU VILAGE"</f>
        <v>MAISON DE RETRAITE LOU VILAGE</v>
      </c>
      <c r="C231" t="s">
        <v>76</v>
      </c>
    </row>
    <row r="232" spans="1:3" x14ac:dyDescent="0.25">
      <c r="A232" t="str">
        <f>"050005511"</f>
        <v>050005511</v>
      </c>
      <c r="B232" t="str">
        <f>"EHPAD LE VAL DE SERRES"</f>
        <v>EHPAD LE VAL DE SERRES</v>
      </c>
      <c r="C232" t="s">
        <v>76</v>
      </c>
    </row>
    <row r="233" spans="1:3" x14ac:dyDescent="0.25">
      <c r="A233" t="str">
        <f>"050005529"</f>
        <v>050005529</v>
      </c>
      <c r="B233" t="str">
        <f>"EHPAD ETOILE DES NEIGES"</f>
        <v>EHPAD ETOILE DES NEIGES</v>
      </c>
      <c r="C233" t="s">
        <v>76</v>
      </c>
    </row>
    <row r="234" spans="1:3" x14ac:dyDescent="0.25">
      <c r="A234" t="str">
        <f>"050005768"</f>
        <v>050005768</v>
      </c>
      <c r="B234" t="str">
        <f>"EHPAD ST MENS"</f>
        <v>EHPAD ST MENS</v>
      </c>
      <c r="C234" t="s">
        <v>76</v>
      </c>
    </row>
    <row r="235" spans="1:3" x14ac:dyDescent="0.25">
      <c r="A235" t="str">
        <f>"050005818"</f>
        <v>050005818</v>
      </c>
      <c r="B235" t="str">
        <f>"EHPAD LE BUECH"</f>
        <v>EHPAD LE BUECH</v>
      </c>
      <c r="C235" t="s">
        <v>76</v>
      </c>
    </row>
    <row r="236" spans="1:3" x14ac:dyDescent="0.25">
      <c r="A236" t="str">
        <f>"050005859"</f>
        <v>050005859</v>
      </c>
      <c r="B236" t="str">
        <f>"CHICAS EHPAD GAP"</f>
        <v>CHICAS EHPAD GAP</v>
      </c>
      <c r="C236" t="s">
        <v>76</v>
      </c>
    </row>
    <row r="237" spans="1:3" x14ac:dyDescent="0.25">
      <c r="A237" t="str">
        <f>"050006147"</f>
        <v>050006147</v>
      </c>
      <c r="B237" t="str">
        <f>"MAISON DE RETRAITE VILLA MONTBRISON"</f>
        <v>MAISON DE RETRAITE VILLA MONTBRISON</v>
      </c>
      <c r="C237" t="s">
        <v>76</v>
      </c>
    </row>
    <row r="238" spans="1:3" x14ac:dyDescent="0.25">
      <c r="A238" t="str">
        <f>"050006410"</f>
        <v>050006410</v>
      </c>
      <c r="B238" t="str">
        <f>"EHPAD  L'EDELWEISS"</f>
        <v>EHPAD  L'EDELWEISS</v>
      </c>
      <c r="C238" t="s">
        <v>76</v>
      </c>
    </row>
    <row r="239" spans="1:3" x14ac:dyDescent="0.25">
      <c r="A239" t="str">
        <f>"050006626"</f>
        <v>050006626</v>
      </c>
      <c r="B239" t="str">
        <f>"EHPAD RESIDENCE OULETA"</f>
        <v>EHPAD RESIDENCE OULETA</v>
      </c>
      <c r="C239" t="s">
        <v>76</v>
      </c>
    </row>
    <row r="240" spans="1:3" x14ac:dyDescent="0.25">
      <c r="A240" t="str">
        <f>"050007079"</f>
        <v>050007079</v>
      </c>
      <c r="B240" t="str">
        <f>"EHPAD LES VERGERS DE LA DURANCE"</f>
        <v>EHPAD LES VERGERS DE LA DURANCE</v>
      </c>
      <c r="C240" t="s">
        <v>76</v>
      </c>
    </row>
    <row r="241" spans="1:3" x14ac:dyDescent="0.25">
      <c r="A241" t="str">
        <f>"060003217"</f>
        <v>060003217</v>
      </c>
      <c r="B241" t="str">
        <f>"EHPAD MAISON JEAN DEHON"</f>
        <v>EHPAD MAISON JEAN DEHON</v>
      </c>
      <c r="C241" t="s">
        <v>76</v>
      </c>
    </row>
    <row r="242" spans="1:3" x14ac:dyDescent="0.25">
      <c r="A242" t="str">
        <f>"060003266"</f>
        <v>060003266</v>
      </c>
      <c r="B242" t="str">
        <f>"EHPAD RESIDENCE CANTAZUR"</f>
        <v>EHPAD RESIDENCE CANTAZUR</v>
      </c>
      <c r="C242" t="s">
        <v>76</v>
      </c>
    </row>
    <row r="243" spans="1:3" x14ac:dyDescent="0.25">
      <c r="A243" t="str">
        <f>"060003316"</f>
        <v>060003316</v>
      </c>
      <c r="B243" t="str">
        <f>"EHPAD RESIDENCE ANCILLA"</f>
        <v>EHPAD RESIDENCE ANCILLA</v>
      </c>
      <c r="C243" t="s">
        <v>76</v>
      </c>
    </row>
    <row r="244" spans="1:3" x14ac:dyDescent="0.25">
      <c r="A244" t="str">
        <f>"060003472"</f>
        <v>060003472</v>
      </c>
      <c r="B244" t="str">
        <f>"EHPAD RESIDENCE SOPHIE"</f>
        <v>EHPAD RESIDENCE SOPHIE</v>
      </c>
      <c r="C244" t="s">
        <v>76</v>
      </c>
    </row>
    <row r="245" spans="1:3" x14ac:dyDescent="0.25">
      <c r="A245" t="str">
        <f>"060003555"</f>
        <v>060003555</v>
      </c>
      <c r="B245" t="str">
        <f>"EHPAD LA GORGHETTA"</f>
        <v>EHPAD LA GORGHETTA</v>
      </c>
      <c r="C245" t="s">
        <v>76</v>
      </c>
    </row>
    <row r="246" spans="1:3" x14ac:dyDescent="0.25">
      <c r="A246" t="str">
        <f>"060003639"</f>
        <v>060003639</v>
      </c>
      <c r="B246" t="str">
        <f>"EHPAD MARIPOSA"</f>
        <v>EHPAD MARIPOSA</v>
      </c>
      <c r="C246" t="s">
        <v>76</v>
      </c>
    </row>
    <row r="247" spans="1:3" x14ac:dyDescent="0.25">
      <c r="A247" t="str">
        <f>"060003878"</f>
        <v>060003878</v>
      </c>
      <c r="B247" t="str">
        <f>"EHPAD LE MAS DES MIMOSAS"</f>
        <v>EHPAD LE MAS DES MIMOSAS</v>
      </c>
      <c r="C247" t="s">
        <v>76</v>
      </c>
    </row>
    <row r="248" spans="1:3" x14ac:dyDescent="0.25">
      <c r="A248" t="str">
        <f>"060004090"</f>
        <v>060004090</v>
      </c>
      <c r="B248" t="str">
        <f>"EHPAD KORIAN LE PARC DE MOUGINS"</f>
        <v>EHPAD KORIAN LE PARC DE MOUGINS</v>
      </c>
      <c r="C248" t="s">
        <v>76</v>
      </c>
    </row>
    <row r="249" spans="1:3" x14ac:dyDescent="0.25">
      <c r="A249" t="str">
        <f>"060004249"</f>
        <v>060004249</v>
      </c>
      <c r="B249" t="str">
        <f>"EHPAD DOLCE FARNIENTE"</f>
        <v>EHPAD DOLCE FARNIENTE</v>
      </c>
      <c r="C249" t="s">
        <v>76</v>
      </c>
    </row>
    <row r="250" spans="1:3" x14ac:dyDescent="0.25">
      <c r="A250" t="str">
        <f>"060005360"</f>
        <v>060005360</v>
      </c>
      <c r="B250" t="str">
        <f>"EHPAD SAINTE JULIETTE"</f>
        <v>EHPAD SAINTE JULIETTE</v>
      </c>
      <c r="C250" t="s">
        <v>76</v>
      </c>
    </row>
    <row r="251" spans="1:3" x14ac:dyDescent="0.25">
      <c r="A251" t="str">
        <f>"060009818"</f>
        <v>060009818</v>
      </c>
      <c r="B251" t="str">
        <f>"EHPAD LA BASTIDE DES CAYRONS"</f>
        <v>EHPAD LA BASTIDE DES CAYRONS</v>
      </c>
      <c r="C251" t="s">
        <v>76</v>
      </c>
    </row>
    <row r="252" spans="1:3" x14ac:dyDescent="0.25">
      <c r="A252" t="str">
        <f>"060012069"</f>
        <v>060012069</v>
      </c>
      <c r="B252" t="str">
        <f>"EHPAD LA CORNICHE FLEURIE"</f>
        <v>EHPAD LA CORNICHE FLEURIE</v>
      </c>
      <c r="C252" t="s">
        <v>76</v>
      </c>
    </row>
    <row r="253" spans="1:3" x14ac:dyDescent="0.25">
      <c r="A253" t="str">
        <f>"060012168"</f>
        <v>060012168</v>
      </c>
      <c r="B253" t="str">
        <f>"EHPAD RESIDENCE LES PAILLONS"</f>
        <v>EHPAD RESIDENCE LES PAILLONS</v>
      </c>
      <c r="C253" t="s">
        <v>76</v>
      </c>
    </row>
    <row r="254" spans="1:3" x14ac:dyDescent="0.25">
      <c r="A254" t="str">
        <f>"060012259"</f>
        <v>060012259</v>
      </c>
      <c r="B254" t="str">
        <f>"EHPAD LA BASTIDE DU MOULIN"</f>
        <v>EHPAD LA BASTIDE DU MOULIN</v>
      </c>
      <c r="C254" t="s">
        <v>76</v>
      </c>
    </row>
    <row r="255" spans="1:3" x14ac:dyDescent="0.25">
      <c r="A255" t="str">
        <f>"060012689"</f>
        <v>060012689</v>
      </c>
      <c r="B255" t="str">
        <f>"EHPAD RESIDENCE DU MIDI"</f>
        <v>EHPAD RESIDENCE DU MIDI</v>
      </c>
      <c r="C255" t="s">
        <v>76</v>
      </c>
    </row>
    <row r="256" spans="1:3" x14ac:dyDescent="0.25">
      <c r="A256" t="str">
        <f>"060012788"</f>
        <v>060012788</v>
      </c>
      <c r="B256" t="str">
        <f>"EPHAD LES JARDINS DE ST PAUL"</f>
        <v>EPHAD LES JARDINS DE ST PAUL</v>
      </c>
      <c r="C256" t="s">
        <v>76</v>
      </c>
    </row>
    <row r="257" spans="1:3" x14ac:dyDescent="0.25">
      <c r="A257" t="str">
        <f>"060012879"</f>
        <v>060012879</v>
      </c>
      <c r="B257" t="str">
        <f>"KORIAN SORGENTINO"</f>
        <v>KORIAN SORGENTINO</v>
      </c>
      <c r="C257" t="s">
        <v>76</v>
      </c>
    </row>
    <row r="258" spans="1:3" x14ac:dyDescent="0.25">
      <c r="A258" t="str">
        <f>"060012978"</f>
        <v>060012978</v>
      </c>
      <c r="B258" t="str">
        <f>"EHPAD RESIDENCE SAINT MARTIN"</f>
        <v>EHPAD RESIDENCE SAINT MARTIN</v>
      </c>
      <c r="C258" t="s">
        <v>76</v>
      </c>
    </row>
    <row r="259" spans="1:3" x14ac:dyDescent="0.25">
      <c r="A259" t="str">
        <f>"060013059"</f>
        <v>060013059</v>
      </c>
      <c r="B259" t="str">
        <f>"EHPAD LE CLOS DE CIMIEZ"</f>
        <v>EHPAD LE CLOS DE CIMIEZ</v>
      </c>
      <c r="C259" t="s">
        <v>76</v>
      </c>
    </row>
    <row r="260" spans="1:3" x14ac:dyDescent="0.25">
      <c r="A260" t="str">
        <f>"060013299"</f>
        <v>060013299</v>
      </c>
      <c r="B260" t="str">
        <f>"EHPAD LA PALMERAIE"</f>
        <v>EHPAD LA PALMERAIE</v>
      </c>
      <c r="C260" t="s">
        <v>76</v>
      </c>
    </row>
    <row r="261" spans="1:3" x14ac:dyDescent="0.25">
      <c r="A261" t="str">
        <f>"060013349"</f>
        <v>060013349</v>
      </c>
      <c r="B261" t="str">
        <f>"EHPAD RESIDENCE VICTORIA"</f>
        <v>EHPAD RESIDENCE VICTORIA</v>
      </c>
      <c r="C261" t="s">
        <v>76</v>
      </c>
    </row>
    <row r="262" spans="1:3" x14ac:dyDescent="0.25">
      <c r="A262" t="str">
        <f>"060013588"</f>
        <v>060013588</v>
      </c>
      <c r="B262" t="str">
        <f>"KORIAN CHATEAU DES OLLIERES"</f>
        <v>KORIAN CHATEAU DES OLLIERES</v>
      </c>
      <c r="C262" t="s">
        <v>76</v>
      </c>
    </row>
    <row r="263" spans="1:3" x14ac:dyDescent="0.25">
      <c r="A263" t="str">
        <f>"060013679"</f>
        <v>060013679</v>
      </c>
      <c r="B263" t="str">
        <f>"EHPAD LE CLOS DES VIGNES"</f>
        <v>EHPAD LE CLOS DES VIGNES</v>
      </c>
      <c r="C263" t="s">
        <v>76</v>
      </c>
    </row>
    <row r="264" spans="1:3" x14ac:dyDescent="0.25">
      <c r="A264" t="str">
        <f>"060014099"</f>
        <v>060014099</v>
      </c>
      <c r="B264" t="str">
        <f>"EHPAD LES JARDINS D'INES"</f>
        <v>EHPAD LES JARDINS D'INES</v>
      </c>
      <c r="C264" t="s">
        <v>76</v>
      </c>
    </row>
    <row r="265" spans="1:3" x14ac:dyDescent="0.25">
      <c r="A265" t="str">
        <f>"060018918"</f>
        <v>060018918</v>
      </c>
      <c r="B265" t="str">
        <f>"EHPAD RESIDENCE LYNA"</f>
        <v>EHPAD RESIDENCE LYNA</v>
      </c>
      <c r="C265" t="s">
        <v>76</v>
      </c>
    </row>
    <row r="266" spans="1:3" x14ac:dyDescent="0.25">
      <c r="A266" t="str">
        <f>"060020138"</f>
        <v>060020138</v>
      </c>
      <c r="B266" t="str">
        <f>"EHPAD INSTITUT CLAUDE POMPIDOU"</f>
        <v>EHPAD INSTITUT CLAUDE POMPIDOU</v>
      </c>
      <c r="C266" t="s">
        <v>76</v>
      </c>
    </row>
    <row r="267" spans="1:3" x14ac:dyDescent="0.25">
      <c r="A267" t="str">
        <f>"060020179"</f>
        <v>060020179</v>
      </c>
      <c r="B267" t="str">
        <f>"EHPAD LES CITRONNIERS"</f>
        <v>EHPAD LES CITRONNIERS</v>
      </c>
      <c r="C267" t="s">
        <v>76</v>
      </c>
    </row>
    <row r="268" spans="1:3" x14ac:dyDescent="0.25">
      <c r="A268" t="str">
        <f>"060020229"</f>
        <v>060020229</v>
      </c>
      <c r="B268" t="str">
        <f>"EHPAD LES JARDINS DE PAULINE"</f>
        <v>EHPAD LES JARDINS DE PAULINE</v>
      </c>
      <c r="C268" t="s">
        <v>76</v>
      </c>
    </row>
    <row r="269" spans="1:3" x14ac:dyDescent="0.25">
      <c r="A269" t="str">
        <f>"060020294"</f>
        <v>060020294</v>
      </c>
      <c r="B269" t="str">
        <f>"EHPAD VILLA FOCH"</f>
        <v>EHPAD VILLA FOCH</v>
      </c>
      <c r="C269" t="s">
        <v>76</v>
      </c>
    </row>
    <row r="270" spans="1:3" x14ac:dyDescent="0.25">
      <c r="A270" t="str">
        <f>"060020328"</f>
        <v>060020328</v>
      </c>
      <c r="B270" t="str">
        <f>"EHPAD LES OLIVIERS DE ST LAURENT"</f>
        <v>EHPAD LES OLIVIERS DE ST LAURENT</v>
      </c>
      <c r="C270" t="s">
        <v>76</v>
      </c>
    </row>
    <row r="271" spans="1:3" x14ac:dyDescent="0.25">
      <c r="A271" t="str">
        <f>"060020369"</f>
        <v>060020369</v>
      </c>
      <c r="B271" t="str">
        <f>"EHPAD LES LAURIERS ROSES"</f>
        <v>EHPAD LES LAURIERS ROSES</v>
      </c>
      <c r="C271" t="s">
        <v>76</v>
      </c>
    </row>
    <row r="272" spans="1:3" x14ac:dyDescent="0.25">
      <c r="A272" t="str">
        <f>"060020419"</f>
        <v>060020419</v>
      </c>
      <c r="B272" t="str">
        <f>"EHPAD LES CAMPELIERES"</f>
        <v>EHPAD LES CAMPELIERES</v>
      </c>
      <c r="C272" t="s">
        <v>76</v>
      </c>
    </row>
    <row r="273" spans="1:3" x14ac:dyDescent="0.25">
      <c r="A273" t="str">
        <f>"060020518"</f>
        <v>060020518</v>
      </c>
      <c r="B273" t="str">
        <f>"EHPAD L'EAU VIVE"</f>
        <v>EHPAD L'EAU VIVE</v>
      </c>
      <c r="C273" t="s">
        <v>76</v>
      </c>
    </row>
    <row r="274" spans="1:3" x14ac:dyDescent="0.25">
      <c r="A274" t="str">
        <f>"060020559"</f>
        <v>060020559</v>
      </c>
      <c r="B274" t="str">
        <f>"EHPAD LES RESTANQUES"</f>
        <v>EHPAD LES RESTANQUES</v>
      </c>
      <c r="C274" t="s">
        <v>76</v>
      </c>
    </row>
    <row r="275" spans="1:3" x14ac:dyDescent="0.25">
      <c r="A275" t="str">
        <f>"060020609"</f>
        <v>060020609</v>
      </c>
      <c r="B275" t="str">
        <f>"EHPAD LA VILLA DES SAULES"</f>
        <v>EHPAD LA VILLA DES SAULES</v>
      </c>
      <c r="C275" t="s">
        <v>76</v>
      </c>
    </row>
    <row r="276" spans="1:3" x14ac:dyDescent="0.25">
      <c r="A276" t="str">
        <f>"060020658"</f>
        <v>060020658</v>
      </c>
      <c r="B276" t="str">
        <f>"EHPAD LES JASMINS DE CABROL"</f>
        <v>EHPAD LES JASMINS DE CABROL</v>
      </c>
      <c r="C276" t="s">
        <v>76</v>
      </c>
    </row>
    <row r="277" spans="1:3" x14ac:dyDescent="0.25">
      <c r="A277" t="str">
        <f>"060020708"</f>
        <v>060020708</v>
      </c>
      <c r="B277" t="str">
        <f>"EHPAD MAISON MADELEINE"</f>
        <v>EHPAD MAISON MADELEINE</v>
      </c>
      <c r="C277" t="s">
        <v>76</v>
      </c>
    </row>
    <row r="278" spans="1:3" x14ac:dyDescent="0.25">
      <c r="A278" t="str">
        <f>"060020799"</f>
        <v>060020799</v>
      </c>
      <c r="B278" t="str">
        <f>"EHPAD RESIDENCE LES VALLIERES"</f>
        <v>EHPAD RESIDENCE LES VALLIERES</v>
      </c>
      <c r="C278" t="s">
        <v>76</v>
      </c>
    </row>
    <row r="279" spans="1:3" x14ac:dyDescent="0.25">
      <c r="A279" t="str">
        <f>"060020807"</f>
        <v>060020807</v>
      </c>
      <c r="B279" t="str">
        <f>"EHPAD VILLA HELIOS"</f>
        <v>EHPAD VILLA HELIOS</v>
      </c>
      <c r="C279" t="s">
        <v>76</v>
      </c>
    </row>
    <row r="280" spans="1:3" x14ac:dyDescent="0.25">
      <c r="A280" t="str">
        <f>"060020849"</f>
        <v>060020849</v>
      </c>
      <c r="B280" t="str">
        <f>"EHPAD LES JARDINS DE FANTON"</f>
        <v>EHPAD LES JARDINS DE FANTON</v>
      </c>
      <c r="C280" t="s">
        <v>76</v>
      </c>
    </row>
    <row r="281" spans="1:3" x14ac:dyDescent="0.25">
      <c r="A281" t="str">
        <f>"060020898"</f>
        <v>060020898</v>
      </c>
      <c r="B281" t="str">
        <f>"EHPAD LES JARDINS SAINT CHARLES"</f>
        <v>EHPAD LES JARDINS SAINT CHARLES</v>
      </c>
      <c r="C281" t="s">
        <v>76</v>
      </c>
    </row>
    <row r="282" spans="1:3" x14ac:dyDescent="0.25">
      <c r="A282" t="str">
        <f>"060021029"</f>
        <v>060021029</v>
      </c>
      <c r="B282" t="str">
        <f>"EHPAD ANDRE LOUIS BIENVENU"</f>
        <v>EHPAD ANDRE LOUIS BIENVENU</v>
      </c>
      <c r="C282" t="s">
        <v>76</v>
      </c>
    </row>
    <row r="283" spans="1:3" x14ac:dyDescent="0.25">
      <c r="A283" t="str">
        <f>"060021185"</f>
        <v>060021185</v>
      </c>
      <c r="B283" t="str">
        <f>"EHPAD FLORIBUNDA"</f>
        <v>EHPAD FLORIBUNDA</v>
      </c>
      <c r="C283" t="s">
        <v>76</v>
      </c>
    </row>
    <row r="284" spans="1:3" x14ac:dyDescent="0.25">
      <c r="A284" t="str">
        <f>"060021326"</f>
        <v>060021326</v>
      </c>
      <c r="B284" t="str">
        <f>"EHPAD LA VENCOISE"</f>
        <v>EHPAD LA VENCOISE</v>
      </c>
      <c r="C284" t="s">
        <v>76</v>
      </c>
    </row>
    <row r="285" spans="1:3" x14ac:dyDescent="0.25">
      <c r="A285" t="str">
        <f>"060022431"</f>
        <v>060022431</v>
      </c>
      <c r="B285" t="str">
        <f>"EHPAD RESIDENCE LES FIGUIERS"</f>
        <v>EHPAD RESIDENCE LES FIGUIERS</v>
      </c>
      <c r="C285" t="s">
        <v>76</v>
      </c>
    </row>
    <row r="286" spans="1:3" x14ac:dyDescent="0.25">
      <c r="A286" t="str">
        <f>"060022894"</f>
        <v>060022894</v>
      </c>
      <c r="B286" t="str">
        <f>"EHPAD ISOLA BELLA CH CANNES"</f>
        <v>EHPAD ISOLA BELLA CH CANNES</v>
      </c>
      <c r="C286" t="s">
        <v>76</v>
      </c>
    </row>
    <row r="287" spans="1:3" x14ac:dyDescent="0.25">
      <c r="A287" t="str">
        <f>"060022902"</f>
        <v>060022902</v>
      </c>
      <c r="B287" t="str">
        <f>"EHPAD DE NICE"</f>
        <v>EHPAD DE NICE</v>
      </c>
      <c r="C287" t="s">
        <v>76</v>
      </c>
    </row>
    <row r="288" spans="1:3" x14ac:dyDescent="0.25">
      <c r="A288" t="str">
        <f>"060023843"</f>
        <v>060023843</v>
      </c>
      <c r="B288" t="str">
        <f>"EHPAD LES BALCONS DE LA FONTONNE"</f>
        <v>EHPAD LES BALCONS DE LA FONTONNE</v>
      </c>
      <c r="C288" t="s">
        <v>76</v>
      </c>
    </row>
    <row r="289" spans="1:3" x14ac:dyDescent="0.25">
      <c r="A289" t="str">
        <f>"060024106"</f>
        <v>060024106</v>
      </c>
      <c r="B289" t="str">
        <f>"EHPAD VILLA DES COLLETTES"</f>
        <v>EHPAD VILLA DES COLLETTES</v>
      </c>
      <c r="C289" t="s">
        <v>76</v>
      </c>
    </row>
    <row r="290" spans="1:3" x14ac:dyDescent="0.25">
      <c r="A290" t="str">
        <f>"060024262"</f>
        <v>060024262</v>
      </c>
      <c r="B290" t="str">
        <f>"EHPAD VILLA DE RIMIEZ"</f>
        <v>EHPAD VILLA DE RIMIEZ</v>
      </c>
      <c r="C290" t="s">
        <v>76</v>
      </c>
    </row>
    <row r="291" spans="1:3" x14ac:dyDescent="0.25">
      <c r="A291" t="str">
        <f>"060024460"</f>
        <v>060024460</v>
      </c>
      <c r="B291" t="str">
        <f>"EHPAD VILLA GALLIA"</f>
        <v>EHPAD VILLA GALLIA</v>
      </c>
      <c r="C291" t="s">
        <v>76</v>
      </c>
    </row>
    <row r="292" spans="1:3" x14ac:dyDescent="0.25">
      <c r="A292" t="str">
        <f>"060024858"</f>
        <v>060024858</v>
      </c>
      <c r="B292" t="str">
        <f>"EHPAD L'ESCALINADA"</f>
        <v>EHPAD L'ESCALINADA</v>
      </c>
      <c r="C292" t="s">
        <v>76</v>
      </c>
    </row>
    <row r="293" spans="1:3" x14ac:dyDescent="0.25">
      <c r="A293" t="str">
        <f>"060025343"</f>
        <v>060025343</v>
      </c>
      <c r="B293" t="str">
        <f>"EHPAD RESIDENCE VALENTINA"</f>
        <v>EHPAD RESIDENCE VALENTINA</v>
      </c>
      <c r="C293" t="s">
        <v>76</v>
      </c>
    </row>
    <row r="294" spans="1:3" x14ac:dyDescent="0.25">
      <c r="A294" t="str">
        <f>"060780871"</f>
        <v>060780871</v>
      </c>
      <c r="B294" t="str">
        <f>"EHPAD LES ORANGERS"</f>
        <v>EHPAD LES ORANGERS</v>
      </c>
      <c r="C294" t="s">
        <v>76</v>
      </c>
    </row>
    <row r="295" spans="1:3" x14ac:dyDescent="0.25">
      <c r="A295" t="str">
        <f>"060780939"</f>
        <v>060780939</v>
      </c>
      <c r="B295" t="str">
        <f>"EHPAD LE TOUZE"</f>
        <v>EHPAD LE TOUZE</v>
      </c>
      <c r="C295" t="s">
        <v>76</v>
      </c>
    </row>
    <row r="296" spans="1:3" x14ac:dyDescent="0.25">
      <c r="A296" t="str">
        <f>"060781275"</f>
        <v>060781275</v>
      </c>
      <c r="B296" t="str">
        <f>"EHPAD MAISON RUSSE DE SAINTE ANASTASIE"</f>
        <v>EHPAD MAISON RUSSE DE SAINTE ANASTASIE</v>
      </c>
      <c r="C296" t="s">
        <v>76</v>
      </c>
    </row>
    <row r="297" spans="1:3" x14ac:dyDescent="0.25">
      <c r="A297" t="str">
        <f>"060781309"</f>
        <v>060781309</v>
      </c>
      <c r="B297" t="str">
        <f>"EHPAD VICTOR NICOLAI"</f>
        <v>EHPAD VICTOR NICOLAI</v>
      </c>
      <c r="C297" t="s">
        <v>76</v>
      </c>
    </row>
    <row r="298" spans="1:3" x14ac:dyDescent="0.25">
      <c r="A298" t="str">
        <f>"060781317"</f>
        <v>060781317</v>
      </c>
      <c r="B298" t="str">
        <f>"EHPAD CROIX ROUGE RUSSE"</f>
        <v>EHPAD CROIX ROUGE RUSSE</v>
      </c>
      <c r="C298" t="s">
        <v>76</v>
      </c>
    </row>
    <row r="299" spans="1:3" x14ac:dyDescent="0.25">
      <c r="A299" t="str">
        <f>"060781390"</f>
        <v>060781390</v>
      </c>
      <c r="B299" t="str">
        <f>"EHPAD AU SAVEL"</f>
        <v>EHPAD AU SAVEL</v>
      </c>
      <c r="C299" t="s">
        <v>76</v>
      </c>
    </row>
    <row r="300" spans="1:3" x14ac:dyDescent="0.25">
      <c r="A300" t="str">
        <f>"060781408"</f>
        <v>060781408</v>
      </c>
      <c r="B300" t="str">
        <f>"EHPAD RESIDENCE L'OLIVIER"</f>
        <v>EHPAD RESIDENCE L'OLIVIER</v>
      </c>
      <c r="C300" t="s">
        <v>76</v>
      </c>
    </row>
    <row r="301" spans="1:3" x14ac:dyDescent="0.25">
      <c r="A301" t="str">
        <f>"060781416"</f>
        <v>060781416</v>
      </c>
      <c r="B301" t="str">
        <f>"EHPAD SAINTE CROIX"</f>
        <v>EHPAD SAINTE CROIX</v>
      </c>
      <c r="C301" t="s">
        <v>76</v>
      </c>
    </row>
    <row r="302" spans="1:3" x14ac:dyDescent="0.25">
      <c r="A302" t="str">
        <f>"060781465"</f>
        <v>060781465</v>
      </c>
      <c r="B302" t="str">
        <f>"EHPAD LA SOFIETA"</f>
        <v>EHPAD LA SOFIETA</v>
      </c>
      <c r="C302" t="s">
        <v>76</v>
      </c>
    </row>
    <row r="303" spans="1:3" x14ac:dyDescent="0.25">
      <c r="A303" t="str">
        <f>"060781499"</f>
        <v>060781499</v>
      </c>
      <c r="B303" t="str">
        <f>"EHPAD LA ROSERAIE"</f>
        <v>EHPAD LA ROSERAIE</v>
      </c>
      <c r="C303" t="s">
        <v>76</v>
      </c>
    </row>
    <row r="304" spans="1:3" x14ac:dyDescent="0.25">
      <c r="A304" t="str">
        <f>"060782125"</f>
        <v>060782125</v>
      </c>
      <c r="B304" t="str">
        <f>"EHPAD FONDATION PAULIANI"</f>
        <v>EHPAD FONDATION PAULIANI</v>
      </c>
      <c r="C304" t="s">
        <v>76</v>
      </c>
    </row>
    <row r="305" spans="1:3" x14ac:dyDescent="0.25">
      <c r="A305" t="str">
        <f>"060782141"</f>
        <v>060782141</v>
      </c>
      <c r="B305" t="str">
        <f>"EHPAD LES BOUGAINVILLEES"</f>
        <v>EHPAD LES BOUGAINVILLEES</v>
      </c>
      <c r="C305" t="s">
        <v>76</v>
      </c>
    </row>
    <row r="306" spans="1:3" x14ac:dyDescent="0.25">
      <c r="A306" t="str">
        <f>"060782158"</f>
        <v>060782158</v>
      </c>
      <c r="B306" t="str">
        <f>"EHPAD LA VENÇOISE"</f>
        <v>EHPAD LA VENÇOISE</v>
      </c>
      <c r="C306" t="s">
        <v>76</v>
      </c>
    </row>
    <row r="307" spans="1:3" x14ac:dyDescent="0.25">
      <c r="A307" t="str">
        <f>"060782166"</f>
        <v>060782166</v>
      </c>
      <c r="B307" t="str">
        <f>"EHPAD LE TEMPS DES CERISES"</f>
        <v>EHPAD LE TEMPS DES CERISES</v>
      </c>
      <c r="C307" t="s">
        <v>76</v>
      </c>
    </row>
    <row r="308" spans="1:3" x14ac:dyDescent="0.25">
      <c r="A308" t="str">
        <f>"060782174"</f>
        <v>060782174</v>
      </c>
      <c r="B308" t="str">
        <f>"EHPAD FONDATION JULES GASTALDY"</f>
        <v>EHPAD FONDATION JULES GASTALDY</v>
      </c>
      <c r="C308" t="s">
        <v>76</v>
      </c>
    </row>
    <row r="309" spans="1:3" x14ac:dyDescent="0.25">
      <c r="A309" t="str">
        <f>"060782190"</f>
        <v>060782190</v>
      </c>
      <c r="B309" t="str">
        <f>"EHPAD FONTDIVINA"</f>
        <v>EHPAD FONTDIVINA</v>
      </c>
      <c r="C309" t="s">
        <v>76</v>
      </c>
    </row>
    <row r="310" spans="1:3" x14ac:dyDescent="0.25">
      <c r="A310" t="str">
        <f>"060782281"</f>
        <v>060782281</v>
      </c>
      <c r="B310" t="str">
        <f>"EHPAD LES ANCIENS COMBATTANTS"</f>
        <v>EHPAD LES ANCIENS COMBATTANTS</v>
      </c>
      <c r="C310" t="s">
        <v>76</v>
      </c>
    </row>
    <row r="311" spans="1:3" x14ac:dyDescent="0.25">
      <c r="A311" t="str">
        <f>"060782299"</f>
        <v>060782299</v>
      </c>
      <c r="B311" t="str">
        <f>"EHPAD LA MAISON DU COTEAU"</f>
        <v>EHPAD LA MAISON DU COTEAU</v>
      </c>
      <c r="C311" t="s">
        <v>76</v>
      </c>
    </row>
    <row r="312" spans="1:3" x14ac:dyDescent="0.25">
      <c r="A312" t="str">
        <f>"060782349"</f>
        <v>060782349</v>
      </c>
      <c r="B312" t="str">
        <f>"EHPAD FORNERO MENEI"</f>
        <v>EHPAD FORNERO MENEI</v>
      </c>
      <c r="C312" t="s">
        <v>76</v>
      </c>
    </row>
    <row r="313" spans="1:3" x14ac:dyDescent="0.25">
      <c r="A313" t="str">
        <f>"060782364"</f>
        <v>060782364</v>
      </c>
      <c r="B313" t="str">
        <f>"PETITES SOEURS DES PAUVRES - MA MAISON"</f>
        <v>PETITES SOEURS DES PAUVRES - MA MAISON</v>
      </c>
      <c r="C313" t="s">
        <v>76</v>
      </c>
    </row>
    <row r="314" spans="1:3" x14ac:dyDescent="0.25">
      <c r="A314" t="str">
        <f>"060782406"</f>
        <v>060782406</v>
      </c>
      <c r="B314" t="str">
        <f>"EHPAD LES LUCIOLES"</f>
        <v>EHPAD LES LUCIOLES</v>
      </c>
      <c r="C314" t="s">
        <v>76</v>
      </c>
    </row>
    <row r="315" spans="1:3" x14ac:dyDescent="0.25">
      <c r="A315" t="str">
        <f>"060782505"</f>
        <v>060782505</v>
      </c>
      <c r="B315" t="str">
        <f>"EHPAD LES HEURES CLAIRES"</f>
        <v>EHPAD LES HEURES CLAIRES</v>
      </c>
      <c r="C315" t="s">
        <v>76</v>
      </c>
    </row>
    <row r="316" spans="1:3" x14ac:dyDescent="0.25">
      <c r="A316" t="str">
        <f>"060782679"</f>
        <v>060782679</v>
      </c>
      <c r="B316" t="str">
        <f>"EHPAD RESIDENCE LES MIMOSAS"</f>
        <v>EHPAD RESIDENCE LES MIMOSAS</v>
      </c>
      <c r="C316" t="s">
        <v>76</v>
      </c>
    </row>
    <row r="317" spans="1:3" x14ac:dyDescent="0.25">
      <c r="A317" t="str">
        <f>"060782687"</f>
        <v>060782687</v>
      </c>
      <c r="B317" t="str">
        <f>"EHPAD ORPEA LES JARDINS DE GRASSE"</f>
        <v>EHPAD ORPEA LES JARDINS DE GRASSE</v>
      </c>
      <c r="C317" t="s">
        <v>76</v>
      </c>
    </row>
    <row r="318" spans="1:3" x14ac:dyDescent="0.25">
      <c r="A318" t="str">
        <f>"060782836"</f>
        <v>060782836</v>
      </c>
      <c r="B318" t="str">
        <f>"EHPAD LE CLAIR LOGIS"</f>
        <v>EHPAD LE CLAIR LOGIS</v>
      </c>
      <c r="C318" t="s">
        <v>76</v>
      </c>
    </row>
    <row r="319" spans="1:3" x14ac:dyDescent="0.25">
      <c r="A319" t="str">
        <f>"060782919"</f>
        <v>060782919</v>
      </c>
      <c r="B319" t="str">
        <f>"EHPAD LES GENETS"</f>
        <v>EHPAD LES GENETS</v>
      </c>
      <c r="C319" t="s">
        <v>76</v>
      </c>
    </row>
    <row r="320" spans="1:3" x14ac:dyDescent="0.25">
      <c r="A320" t="str">
        <f>"060782992"</f>
        <v>060782992</v>
      </c>
      <c r="B320" t="str">
        <f>"EHPAD PALAIS BELVEDERE"</f>
        <v>EHPAD PALAIS BELVEDERE</v>
      </c>
      <c r="C320" t="s">
        <v>76</v>
      </c>
    </row>
    <row r="321" spans="1:3" x14ac:dyDescent="0.25">
      <c r="A321" t="str">
        <f>"060783008"</f>
        <v>060783008</v>
      </c>
      <c r="B321" t="str">
        <f>"EHPAD RESIDENCE VALROSE"</f>
        <v>EHPAD RESIDENCE VALROSE</v>
      </c>
      <c r="C321" t="s">
        <v>76</v>
      </c>
    </row>
    <row r="322" spans="1:3" x14ac:dyDescent="0.25">
      <c r="A322" t="str">
        <f>"060783016"</f>
        <v>060783016</v>
      </c>
      <c r="B322" t="str">
        <f>"EHPAD RESIDENCE GROSSO"</f>
        <v>EHPAD RESIDENCE GROSSO</v>
      </c>
      <c r="C322" t="s">
        <v>76</v>
      </c>
    </row>
    <row r="323" spans="1:3" x14ac:dyDescent="0.25">
      <c r="A323" t="str">
        <f>"060784196"</f>
        <v>060784196</v>
      </c>
      <c r="B323" t="str">
        <f>"EHPAD LES GABRES"</f>
        <v>EHPAD LES GABRES</v>
      </c>
      <c r="C323" t="s">
        <v>76</v>
      </c>
    </row>
    <row r="324" spans="1:3" x14ac:dyDescent="0.25">
      <c r="A324" t="str">
        <f>"060784204"</f>
        <v>060784204</v>
      </c>
      <c r="B324" t="str">
        <f>"EHPAD LA COLLINE"</f>
        <v>EHPAD LA COLLINE</v>
      </c>
      <c r="C324" t="s">
        <v>76</v>
      </c>
    </row>
    <row r="325" spans="1:3" x14ac:dyDescent="0.25">
      <c r="A325" t="str">
        <f>"060784212"</f>
        <v>060784212</v>
      </c>
      <c r="B325" t="str">
        <f>"EHPAD L'AIR DU TEMPS -ORSAC MONTFLEURI"</f>
        <v>EHPAD L'AIR DU TEMPS -ORSAC MONTFLEURI</v>
      </c>
      <c r="C325" t="s">
        <v>76</v>
      </c>
    </row>
    <row r="326" spans="1:3" x14ac:dyDescent="0.25">
      <c r="A326" t="str">
        <f>"060786456"</f>
        <v>060786456</v>
      </c>
      <c r="B326" t="str">
        <f>"EHPAD LA FONTOUNA"</f>
        <v>EHPAD LA FONTOUNA</v>
      </c>
      <c r="C326" t="s">
        <v>76</v>
      </c>
    </row>
    <row r="327" spans="1:3" x14ac:dyDescent="0.25">
      <c r="A327" t="str">
        <f>"060790284"</f>
        <v>060790284</v>
      </c>
      <c r="B327" t="str">
        <f>"EHPAD DE PUGET THENIERS"</f>
        <v>EHPAD DE PUGET THENIERS</v>
      </c>
      <c r="C327" t="s">
        <v>76</v>
      </c>
    </row>
    <row r="328" spans="1:3" x14ac:dyDescent="0.25">
      <c r="A328" t="str">
        <f>"060790334"</f>
        <v>060790334</v>
      </c>
      <c r="B328" t="str">
        <f>"EHPAD LES JARDINS D'AZUR"</f>
        <v>EHPAD LES JARDINS D'AZUR</v>
      </c>
      <c r="C328" t="s">
        <v>76</v>
      </c>
    </row>
    <row r="329" spans="1:3" x14ac:dyDescent="0.25">
      <c r="A329" t="str">
        <f>"060790383"</f>
        <v>060790383</v>
      </c>
      <c r="B329" t="str">
        <f>"EHPAD ALFRED KERMES"</f>
        <v>EHPAD ALFRED KERMES</v>
      </c>
      <c r="C329" t="s">
        <v>76</v>
      </c>
    </row>
    <row r="330" spans="1:3" x14ac:dyDescent="0.25">
      <c r="A330" t="str">
        <f>"060790433"</f>
        <v>060790433</v>
      </c>
      <c r="B330" t="str">
        <f>"EHPAD FRANCOISE PELLEGRIN"</f>
        <v>EHPAD FRANCOISE PELLEGRIN</v>
      </c>
      <c r="C330" t="s">
        <v>76</v>
      </c>
    </row>
    <row r="331" spans="1:3" x14ac:dyDescent="0.25">
      <c r="A331" t="str">
        <f>"060790532"</f>
        <v>060790532</v>
      </c>
      <c r="B331" t="str">
        <f>"EHPAD DE L'HOPITAL LOCAL DE TENDE"</f>
        <v>EHPAD DE L'HOPITAL LOCAL DE TENDE</v>
      </c>
      <c r="C331" t="s">
        <v>76</v>
      </c>
    </row>
    <row r="332" spans="1:3" x14ac:dyDescent="0.25">
      <c r="A332" t="str">
        <f>"060790565"</f>
        <v>060790565</v>
      </c>
      <c r="B332" t="str">
        <f>"EHPAD LES TOURELLES"</f>
        <v>EHPAD LES TOURELLES</v>
      </c>
      <c r="C332" t="s">
        <v>76</v>
      </c>
    </row>
    <row r="333" spans="1:3" x14ac:dyDescent="0.25">
      <c r="A333" t="str">
        <f>"060790698"</f>
        <v>060790698</v>
      </c>
      <c r="B333" t="str">
        <f>"EHPAD RESIDENCE SAINTE MARGUERITE"</f>
        <v>EHPAD RESIDENCE SAINTE MARGUERITE</v>
      </c>
      <c r="C333" t="s">
        <v>76</v>
      </c>
    </row>
    <row r="334" spans="1:3" x14ac:dyDescent="0.25">
      <c r="A334" t="str">
        <f>"060790714"</f>
        <v>060790714</v>
      </c>
      <c r="B334" t="str">
        <f>"EHPAD SIMONE VEIL CH CANNES"</f>
        <v>EHPAD SIMONE VEIL CH CANNES</v>
      </c>
      <c r="C334" t="s">
        <v>76</v>
      </c>
    </row>
    <row r="335" spans="1:3" x14ac:dyDescent="0.25">
      <c r="A335" t="str">
        <f>"060790722"</f>
        <v>060790722</v>
      </c>
      <c r="B335" t="str">
        <f>"EHPAD LA BRISE DES PINS"</f>
        <v>EHPAD LA BRISE DES PINS</v>
      </c>
      <c r="C335" t="s">
        <v>76</v>
      </c>
    </row>
    <row r="336" spans="1:3" x14ac:dyDescent="0.25">
      <c r="A336" t="str">
        <f>"060790730"</f>
        <v>060790730</v>
      </c>
      <c r="B336" t="str">
        <f>"EHPAD LE PETIT PARIS"</f>
        <v>EHPAD LE PETIT PARIS</v>
      </c>
      <c r="C336" t="s">
        <v>76</v>
      </c>
    </row>
    <row r="337" spans="1:3" x14ac:dyDescent="0.25">
      <c r="A337" t="str">
        <f>"060790789"</f>
        <v>060790789</v>
      </c>
      <c r="B337" t="str">
        <f>"EHPAD DE TENDE"</f>
        <v>EHPAD DE TENDE</v>
      </c>
      <c r="C337" t="s">
        <v>76</v>
      </c>
    </row>
    <row r="338" spans="1:3" x14ac:dyDescent="0.25">
      <c r="A338" t="str">
        <f>"060790839"</f>
        <v>060790839</v>
      </c>
      <c r="B338" t="str">
        <f>"EHPAD CENTRE JEAN CHANTON"</f>
        <v>EHPAD CENTRE JEAN CHANTON</v>
      </c>
      <c r="C338" t="s">
        <v>76</v>
      </c>
    </row>
    <row r="339" spans="1:3" x14ac:dyDescent="0.25">
      <c r="A339" t="str">
        <f>"060791290"</f>
        <v>060791290</v>
      </c>
      <c r="B339" t="str">
        <f>"EHPAD LA PALOMBIERE"</f>
        <v>EHPAD LA PALOMBIERE</v>
      </c>
      <c r="C339" t="s">
        <v>76</v>
      </c>
    </row>
    <row r="340" spans="1:3" x14ac:dyDescent="0.25">
      <c r="A340" t="str">
        <f>"060791324"</f>
        <v>060791324</v>
      </c>
      <c r="B340" t="str">
        <f>"EHPAD OREADIS"</f>
        <v>EHPAD OREADIS</v>
      </c>
      <c r="C340" t="s">
        <v>76</v>
      </c>
    </row>
    <row r="341" spans="1:3" x14ac:dyDescent="0.25">
      <c r="A341" t="str">
        <f>"060791381"</f>
        <v>060791381</v>
      </c>
      <c r="B341" t="str">
        <f>"EHPAD POLE SANTE VALLAURIS GOLFE JUAN"</f>
        <v>EHPAD POLE SANTE VALLAURIS GOLFE JUAN</v>
      </c>
      <c r="C341" t="s">
        <v>76</v>
      </c>
    </row>
    <row r="342" spans="1:3" x14ac:dyDescent="0.25">
      <c r="A342" t="str">
        <f>"060791423"</f>
        <v>060791423</v>
      </c>
      <c r="B342" t="str">
        <f>"EHPAD PENSION LES OLIVIERS"</f>
        <v>EHPAD PENSION LES OLIVIERS</v>
      </c>
      <c r="C342" t="s">
        <v>76</v>
      </c>
    </row>
    <row r="343" spans="1:3" x14ac:dyDescent="0.25">
      <c r="A343" t="str">
        <f>"060792082"</f>
        <v>060792082</v>
      </c>
      <c r="B343" t="str">
        <f>"EHPAD L'ESCAPADE"</f>
        <v>EHPAD L'ESCAPADE</v>
      </c>
      <c r="C343" t="s">
        <v>76</v>
      </c>
    </row>
    <row r="344" spans="1:3" x14ac:dyDescent="0.25">
      <c r="A344" t="str">
        <f>"060792132"</f>
        <v>060792132</v>
      </c>
      <c r="B344" t="str">
        <f>"EHPAD AU BEL AGE"</f>
        <v>EHPAD AU BEL AGE</v>
      </c>
      <c r="C344" t="s">
        <v>76</v>
      </c>
    </row>
    <row r="345" spans="1:3" x14ac:dyDescent="0.25">
      <c r="A345" t="str">
        <f>"060792181"</f>
        <v>060792181</v>
      </c>
      <c r="B345" t="str">
        <f>"EHPAD LES CHENES"</f>
        <v>EHPAD LES CHENES</v>
      </c>
      <c r="C345" t="s">
        <v>76</v>
      </c>
    </row>
    <row r="346" spans="1:3" x14ac:dyDescent="0.25">
      <c r="A346" t="str">
        <f>"060792231"</f>
        <v>060792231</v>
      </c>
      <c r="B346" t="str">
        <f>"EHPAD RESIDENCE HELENA"</f>
        <v>EHPAD RESIDENCE HELENA</v>
      </c>
      <c r="C346" t="s">
        <v>76</v>
      </c>
    </row>
    <row r="347" spans="1:3" x14ac:dyDescent="0.25">
      <c r="A347" t="str">
        <f>"060792322"</f>
        <v>060792322</v>
      </c>
      <c r="B347" t="str">
        <f>"EHPAD CHATEAU DE LA BRAGUE"</f>
        <v>EHPAD CHATEAU DE LA BRAGUE</v>
      </c>
      <c r="C347" t="s">
        <v>76</v>
      </c>
    </row>
    <row r="348" spans="1:3" x14ac:dyDescent="0.25">
      <c r="A348" t="str">
        <f>"060792520"</f>
        <v>060792520</v>
      </c>
      <c r="B348" t="str">
        <f>"LES JARDINS D'ARNAULT TZANCK"</f>
        <v>LES JARDINS D'ARNAULT TZANCK</v>
      </c>
      <c r="C348" t="s">
        <v>76</v>
      </c>
    </row>
    <row r="349" spans="1:3" x14ac:dyDescent="0.25">
      <c r="A349" t="str">
        <f>"060792538"</f>
        <v>060792538</v>
      </c>
      <c r="B349" t="str">
        <f>"EHPAD LE PRE DU LAC"</f>
        <v>EHPAD LE PRE DU LAC</v>
      </c>
      <c r="C349" t="s">
        <v>76</v>
      </c>
    </row>
    <row r="350" spans="1:3" x14ac:dyDescent="0.25">
      <c r="A350" t="str">
        <f>"060792579"</f>
        <v>060792579</v>
      </c>
      <c r="B350" t="str">
        <f>"EHPAD THIERS"</f>
        <v>EHPAD THIERS</v>
      </c>
      <c r="C350" t="s">
        <v>76</v>
      </c>
    </row>
    <row r="351" spans="1:3" x14ac:dyDescent="0.25">
      <c r="A351" t="str">
        <f>"060792694"</f>
        <v>060792694</v>
      </c>
      <c r="B351" t="str">
        <f>"EHPAD LES FEUILLANTINES"</f>
        <v>EHPAD LES FEUILLANTINES</v>
      </c>
      <c r="C351" t="s">
        <v>76</v>
      </c>
    </row>
    <row r="352" spans="1:3" x14ac:dyDescent="0.25">
      <c r="A352" t="str">
        <f>"060792728"</f>
        <v>060792728</v>
      </c>
      <c r="B352" t="str">
        <f>"EHPAD DU CH SAINT MAUR"</f>
        <v>EHPAD DU CH SAINT MAUR</v>
      </c>
      <c r="C352" t="s">
        <v>76</v>
      </c>
    </row>
    <row r="353" spans="1:3" x14ac:dyDescent="0.25">
      <c r="A353" t="str">
        <f>"060792801"</f>
        <v>060792801</v>
      </c>
      <c r="B353" t="str">
        <f>"EHPAD KORIAN LA RIVIERA"</f>
        <v>EHPAD KORIAN LA RIVIERA</v>
      </c>
      <c r="C353" t="s">
        <v>76</v>
      </c>
    </row>
    <row r="354" spans="1:3" x14ac:dyDescent="0.25">
      <c r="A354" t="str">
        <f>"060793684"</f>
        <v>060793684</v>
      </c>
      <c r="B354" t="str">
        <f>"EHPAD RESIDENCE DU GOLF"</f>
        <v>EHPAD RESIDENCE DU GOLF</v>
      </c>
      <c r="C354" t="s">
        <v>76</v>
      </c>
    </row>
    <row r="355" spans="1:3" x14ac:dyDescent="0.25">
      <c r="A355" t="str">
        <f>"060798766"</f>
        <v>060798766</v>
      </c>
      <c r="B355" t="str">
        <f>"EHPAD LES AMARYLLIS"</f>
        <v>EHPAD LES AMARYLLIS</v>
      </c>
      <c r="C355" t="s">
        <v>76</v>
      </c>
    </row>
    <row r="356" spans="1:3" x14ac:dyDescent="0.25">
      <c r="A356" t="str">
        <f>"060798782"</f>
        <v>060798782</v>
      </c>
      <c r="B356" t="str">
        <f>"EHPAD L'ANGELIQUE"</f>
        <v>EHPAD L'ANGELIQUE</v>
      </c>
      <c r="C356" t="s">
        <v>76</v>
      </c>
    </row>
    <row r="357" spans="1:3" x14ac:dyDescent="0.25">
      <c r="A357" t="str">
        <f>"060798915"</f>
        <v>060798915</v>
      </c>
      <c r="B357" t="str">
        <f>"EHPAD KORIAN DOMAINE SAINT-MICHEL"</f>
        <v>EHPAD KORIAN DOMAINE SAINT-MICHEL</v>
      </c>
      <c r="C357" t="s">
        <v>76</v>
      </c>
    </row>
    <row r="358" spans="1:3" x14ac:dyDescent="0.25">
      <c r="A358" t="str">
        <f>"060798923"</f>
        <v>060798923</v>
      </c>
      <c r="B358" t="str">
        <f>"EHPAD LES VALLÉES DE DESIRÉE"</f>
        <v>EHPAD LES VALLÉES DE DESIRÉE</v>
      </c>
      <c r="C358" t="s">
        <v>76</v>
      </c>
    </row>
    <row r="359" spans="1:3" x14ac:dyDescent="0.25">
      <c r="A359" t="str">
        <f>"060798964"</f>
        <v>060798964</v>
      </c>
      <c r="B359" t="str">
        <f>"EHPAD NICE RESIDENCIA"</f>
        <v>EHPAD NICE RESIDENCIA</v>
      </c>
      <c r="C359" t="s">
        <v>76</v>
      </c>
    </row>
    <row r="360" spans="1:3" x14ac:dyDescent="0.25">
      <c r="A360" t="str">
        <f>"060798972"</f>
        <v>060798972</v>
      </c>
      <c r="B360" t="str">
        <f>"EHPAD LES FLORALIES"</f>
        <v>EHPAD LES FLORALIES</v>
      </c>
      <c r="C360" t="s">
        <v>76</v>
      </c>
    </row>
    <row r="361" spans="1:3" x14ac:dyDescent="0.25">
      <c r="A361" t="str">
        <f>"060799020"</f>
        <v>060799020</v>
      </c>
      <c r="B361" t="str">
        <f>"EHPAD LES ORCHIDEES"</f>
        <v>EHPAD LES ORCHIDEES</v>
      </c>
      <c r="C361" t="s">
        <v>76</v>
      </c>
    </row>
    <row r="362" spans="1:3" x14ac:dyDescent="0.25">
      <c r="A362" t="str">
        <f>"060799210"</f>
        <v>060799210</v>
      </c>
      <c r="B362" t="str">
        <f>"EHPAD LES PENSEES"</f>
        <v>EHPAD LES PENSEES</v>
      </c>
      <c r="C362" t="s">
        <v>76</v>
      </c>
    </row>
    <row r="363" spans="1:3" x14ac:dyDescent="0.25">
      <c r="A363" t="str">
        <f>"060799392"</f>
        <v>060799392</v>
      </c>
      <c r="B363" t="str">
        <f>"EHPAD LES JARDINS DE STE MARGUERITE"</f>
        <v>EHPAD LES JARDINS DE STE MARGUERITE</v>
      </c>
      <c r="C363" t="s">
        <v>76</v>
      </c>
    </row>
    <row r="364" spans="1:3" x14ac:dyDescent="0.25">
      <c r="A364" t="str">
        <f>"060799426"</f>
        <v>060799426</v>
      </c>
      <c r="B364" t="str">
        <f>"EHPAD LE DOMAINE DE LA CHARLOTTE"</f>
        <v>EHPAD LE DOMAINE DE LA CHARLOTTE</v>
      </c>
      <c r="C364" t="s">
        <v>76</v>
      </c>
    </row>
    <row r="365" spans="1:3" x14ac:dyDescent="0.25">
      <c r="A365" t="str">
        <f>"060799434"</f>
        <v>060799434</v>
      </c>
      <c r="B365" t="str">
        <f>"EHPAD LES DIAMANTINES"</f>
        <v>EHPAD LES DIAMANTINES</v>
      </c>
      <c r="C365" t="s">
        <v>76</v>
      </c>
    </row>
    <row r="366" spans="1:3" x14ac:dyDescent="0.25">
      <c r="A366" t="str">
        <f>"060799459"</f>
        <v>060799459</v>
      </c>
      <c r="B366" t="str">
        <f>"EHPAD RESIDENCE FLEURIE"</f>
        <v>EHPAD RESIDENCE FLEURIE</v>
      </c>
      <c r="C366" t="s">
        <v>76</v>
      </c>
    </row>
    <row r="367" spans="1:3" x14ac:dyDescent="0.25">
      <c r="A367" t="str">
        <f>"060799467"</f>
        <v>060799467</v>
      </c>
      <c r="B367" t="str">
        <f>"EHPAD LES AQUARELLES"</f>
        <v>EHPAD LES AQUARELLES</v>
      </c>
      <c r="C367" t="s">
        <v>76</v>
      </c>
    </row>
    <row r="368" spans="1:3" x14ac:dyDescent="0.25">
      <c r="A368" t="str">
        <f>"060799475"</f>
        <v>060799475</v>
      </c>
      <c r="B368" t="str">
        <f>"EHPAD RESIDENCE SEREN"</f>
        <v>EHPAD RESIDENCE SEREN</v>
      </c>
      <c r="C368" t="s">
        <v>76</v>
      </c>
    </row>
    <row r="369" spans="1:3" x14ac:dyDescent="0.25">
      <c r="A369" t="str">
        <f>"060799483"</f>
        <v>060799483</v>
      </c>
      <c r="B369" t="str">
        <f>"EHPAD KORIAN LES CLEMATITES"</f>
        <v>EHPAD KORIAN LES CLEMATITES</v>
      </c>
      <c r="C369" t="s">
        <v>76</v>
      </c>
    </row>
    <row r="370" spans="1:3" x14ac:dyDescent="0.25">
      <c r="A370" t="str">
        <f>"060799491"</f>
        <v>060799491</v>
      </c>
      <c r="B370" t="str">
        <f>"EHPAD LE CLOS DES OLIVIERS"</f>
        <v>EHPAD LE CLOS DES OLIVIERS</v>
      </c>
      <c r="C370" t="s">
        <v>76</v>
      </c>
    </row>
    <row r="371" spans="1:3" x14ac:dyDescent="0.25">
      <c r="A371" t="str">
        <f>"060799871"</f>
        <v>060799871</v>
      </c>
      <c r="B371" t="str">
        <f>"EHPAD BASTIDE DE PEGOMAS"</f>
        <v>EHPAD BASTIDE DE PEGOMAS</v>
      </c>
      <c r="C371" t="s">
        <v>76</v>
      </c>
    </row>
    <row r="372" spans="1:3" x14ac:dyDescent="0.25">
      <c r="A372" t="str">
        <f>"060799889"</f>
        <v>060799889</v>
      </c>
      <c r="B372" t="str">
        <f>"EHPAD LE GRAND MAS"</f>
        <v>EHPAD LE GRAND MAS</v>
      </c>
      <c r="C372" t="s">
        <v>76</v>
      </c>
    </row>
    <row r="373" spans="1:3" x14ac:dyDescent="0.25">
      <c r="A373" t="str">
        <f>"060799897"</f>
        <v>060799897</v>
      </c>
      <c r="B373" t="str">
        <f>"EHPAD AZUREVA"</f>
        <v>EHPAD AZUREVA</v>
      </c>
      <c r="C373" t="s">
        <v>76</v>
      </c>
    </row>
    <row r="374" spans="1:3" x14ac:dyDescent="0.25">
      <c r="A374" t="str">
        <f>"060799905"</f>
        <v>060799905</v>
      </c>
      <c r="B374" t="str">
        <f>"EHPAD  MARIA HELENA"</f>
        <v>EHPAD  MARIA HELENA</v>
      </c>
      <c r="C374" t="s">
        <v>76</v>
      </c>
    </row>
    <row r="375" spans="1:3" x14ac:dyDescent="0.25">
      <c r="A375" t="str">
        <f>"060799921"</f>
        <v>060799921</v>
      </c>
      <c r="B375" t="str">
        <f>"EHPAD LA ROSEE 2"</f>
        <v>EHPAD LA ROSEE 2</v>
      </c>
      <c r="C375" t="s">
        <v>76</v>
      </c>
    </row>
    <row r="376" spans="1:3" x14ac:dyDescent="0.25">
      <c r="A376" t="str">
        <f>"060800133"</f>
        <v>060800133</v>
      </c>
      <c r="B376" t="str">
        <f>"EHPAD LE CASTEL"</f>
        <v>EHPAD LE CASTEL</v>
      </c>
      <c r="C376" t="s">
        <v>76</v>
      </c>
    </row>
    <row r="377" spans="1:3" x14ac:dyDescent="0.25">
      <c r="A377" t="str">
        <f>"060800208"</f>
        <v>060800208</v>
      </c>
      <c r="B377" t="str">
        <f>"EHPAD L'ALBAREA"</f>
        <v>EHPAD L'ALBAREA</v>
      </c>
      <c r="C377" t="s">
        <v>76</v>
      </c>
    </row>
    <row r="378" spans="1:3" x14ac:dyDescent="0.25">
      <c r="A378" t="str">
        <f>"060800422"</f>
        <v>060800422</v>
      </c>
      <c r="B378" t="str">
        <f>"EHPAD RESIDENCE ARC EN CIEL"</f>
        <v>EHPAD RESIDENCE ARC EN CIEL</v>
      </c>
      <c r="C378" t="s">
        <v>76</v>
      </c>
    </row>
    <row r="379" spans="1:3" x14ac:dyDescent="0.25">
      <c r="A379" t="str">
        <f>"060800430"</f>
        <v>060800430</v>
      </c>
      <c r="B379" t="str">
        <f>"EHPAD LES IRIS"</f>
        <v>EHPAD LES IRIS</v>
      </c>
      <c r="C379" t="s">
        <v>76</v>
      </c>
    </row>
    <row r="380" spans="1:3" x14ac:dyDescent="0.25">
      <c r="A380" t="str">
        <f>"060800448"</f>
        <v>060800448</v>
      </c>
      <c r="B380" t="str">
        <f>"EHPAD LES JARDINS DE LA CLAIRIERE"</f>
        <v>EHPAD LES JARDINS DE LA CLAIRIERE</v>
      </c>
      <c r="C380" t="s">
        <v>76</v>
      </c>
    </row>
    <row r="381" spans="1:3" x14ac:dyDescent="0.25">
      <c r="A381" t="str">
        <f>"060800455"</f>
        <v>060800455</v>
      </c>
      <c r="B381" t="str">
        <f>"EHPAD RESIDENCE BLEU D'AZUR"</f>
        <v>EHPAD RESIDENCE BLEU D'AZUR</v>
      </c>
      <c r="C381" t="s">
        <v>76</v>
      </c>
    </row>
    <row r="382" spans="1:3" x14ac:dyDescent="0.25">
      <c r="A382" t="str">
        <f>"060800463"</f>
        <v>060800463</v>
      </c>
      <c r="B382" t="str">
        <f>"EHPAD LES JONQUIERES"</f>
        <v>EHPAD LES JONQUIERES</v>
      </c>
      <c r="C382" t="s">
        <v>76</v>
      </c>
    </row>
    <row r="383" spans="1:3" x14ac:dyDescent="0.25">
      <c r="A383" t="str">
        <f>"060800521"</f>
        <v>060800521</v>
      </c>
      <c r="B383" t="str">
        <f>"EHPAD LES HAUTS DE MENTON"</f>
        <v>EHPAD LES HAUTS DE MENTON</v>
      </c>
      <c r="C383" t="s">
        <v>76</v>
      </c>
    </row>
    <row r="384" spans="1:3" x14ac:dyDescent="0.25">
      <c r="A384" t="str">
        <f>"060800588"</f>
        <v>060800588</v>
      </c>
      <c r="B384" t="str">
        <f>"EHPAD RESIDENCE MESSIDOR"</f>
        <v>EHPAD RESIDENCE MESSIDOR</v>
      </c>
      <c r="C384" t="s">
        <v>76</v>
      </c>
    </row>
    <row r="385" spans="1:3" x14ac:dyDescent="0.25">
      <c r="A385" t="str">
        <f>"060800604"</f>
        <v>060800604</v>
      </c>
      <c r="B385" t="str">
        <f>"EHPAD RESIDENCE BLEU SOLEIL"</f>
        <v>EHPAD RESIDENCE BLEU SOLEIL</v>
      </c>
      <c r="C385" t="s">
        <v>76</v>
      </c>
    </row>
    <row r="386" spans="1:3" x14ac:dyDescent="0.25">
      <c r="A386" t="str">
        <f>"060800786"</f>
        <v>060800786</v>
      </c>
      <c r="B386" t="str">
        <f>"EHPAD CHARLES GINESY"</f>
        <v>EHPAD CHARLES GINESY</v>
      </c>
      <c r="C386" t="s">
        <v>76</v>
      </c>
    </row>
    <row r="387" spans="1:3" x14ac:dyDescent="0.25">
      <c r="A387" t="str">
        <f>"060800802"</f>
        <v>060800802</v>
      </c>
      <c r="B387" t="str">
        <f>"EHPAD LES AMANDINES"</f>
        <v>EHPAD LES AMANDINES</v>
      </c>
      <c r="C387" t="s">
        <v>76</v>
      </c>
    </row>
    <row r="388" spans="1:3" x14ac:dyDescent="0.25">
      <c r="A388" t="str">
        <f>"060800893"</f>
        <v>060800893</v>
      </c>
      <c r="B388" t="str">
        <f>"EHPAD BEGUM MS AGA KHAN"</f>
        <v>EHPAD BEGUM MS AGA KHAN</v>
      </c>
      <c r="C388" t="s">
        <v>76</v>
      </c>
    </row>
    <row r="389" spans="1:3" x14ac:dyDescent="0.25">
      <c r="A389" t="str">
        <f>"060800901"</f>
        <v>060800901</v>
      </c>
      <c r="B389" t="str">
        <f>"EHPAD LA MAISON BLEUE"</f>
        <v>EHPAD LA MAISON BLEUE</v>
      </c>
      <c r="C389" t="s">
        <v>76</v>
      </c>
    </row>
    <row r="390" spans="1:3" x14ac:dyDescent="0.25">
      <c r="A390" t="str">
        <f>"060801206"</f>
        <v>060801206</v>
      </c>
      <c r="B390" t="str">
        <f>"EHPAD RESIDENCE CANTAZUR"</f>
        <v>EHPAD RESIDENCE CANTAZUR</v>
      </c>
      <c r="C390" t="s">
        <v>76</v>
      </c>
    </row>
    <row r="391" spans="1:3" x14ac:dyDescent="0.25">
      <c r="A391" t="str">
        <f>"060801354"</f>
        <v>060801354</v>
      </c>
      <c r="B391" t="str">
        <f>"EHPAD LES NOISETIERS"</f>
        <v>EHPAD LES NOISETIERS</v>
      </c>
      <c r="C391" t="s">
        <v>76</v>
      </c>
    </row>
    <row r="392" spans="1:3" x14ac:dyDescent="0.25">
      <c r="A392" t="str">
        <f>"070001250"</f>
        <v>070001250</v>
      </c>
      <c r="B392" t="str">
        <f>"EHPAD 'LE CHALENDAS'"</f>
        <v>EHPAD 'LE CHALENDAS'</v>
      </c>
      <c r="C392" t="s">
        <v>61</v>
      </c>
    </row>
    <row r="393" spans="1:3" x14ac:dyDescent="0.25">
      <c r="A393" t="str">
        <f>"070001748"</f>
        <v>070001748</v>
      </c>
      <c r="B393" t="str">
        <f>"EHPAD SAINT JOSEPH"</f>
        <v>EHPAD SAINT JOSEPH</v>
      </c>
      <c r="C393" t="s">
        <v>61</v>
      </c>
    </row>
    <row r="394" spans="1:3" x14ac:dyDescent="0.25">
      <c r="A394" t="str">
        <f>"070002639"</f>
        <v>070002639</v>
      </c>
      <c r="B394" t="str">
        <f>"EHPAD LES CHATAIGNIERS"</f>
        <v>EHPAD LES CHATAIGNIERS</v>
      </c>
      <c r="C394" t="s">
        <v>61</v>
      </c>
    </row>
    <row r="395" spans="1:3" x14ac:dyDescent="0.25">
      <c r="A395" t="str">
        <f>"070004890"</f>
        <v>070004890</v>
      </c>
      <c r="B395" t="str">
        <f>"EHPAD 'STE MARIE'"</f>
        <v>EHPAD 'STE MARIE'</v>
      </c>
      <c r="C395" t="s">
        <v>61</v>
      </c>
    </row>
    <row r="396" spans="1:3" x14ac:dyDescent="0.25">
      <c r="A396" t="str">
        <f>"070005657"</f>
        <v>070005657</v>
      </c>
      <c r="B396" t="str">
        <f>"EHPAD LE MONTOULON"</f>
        <v>EHPAD LE MONTOULON</v>
      </c>
      <c r="C396" t="s">
        <v>61</v>
      </c>
    </row>
    <row r="397" spans="1:3" x14ac:dyDescent="0.25">
      <c r="A397" t="str">
        <f>"070780333"</f>
        <v>070780333</v>
      </c>
      <c r="B397" t="str">
        <f>"EHPAD LE BOSC"</f>
        <v>EHPAD LE BOSC</v>
      </c>
      <c r="C397" t="s">
        <v>61</v>
      </c>
    </row>
    <row r="398" spans="1:3" x14ac:dyDescent="0.25">
      <c r="A398" t="str">
        <f>"070780523"</f>
        <v>070780523</v>
      </c>
      <c r="B398" t="str">
        <f>"EHPAD 'LES MURIERS'"</f>
        <v>EHPAD 'LES MURIERS'</v>
      </c>
      <c r="C398" t="s">
        <v>61</v>
      </c>
    </row>
    <row r="399" spans="1:3" x14ac:dyDescent="0.25">
      <c r="A399" t="str">
        <f>"070780531"</f>
        <v>070780531</v>
      </c>
      <c r="B399" t="str">
        <f>"EHPAD LE BALCON DES ALPES"</f>
        <v>EHPAD LE BALCON DES ALPES</v>
      </c>
      <c r="C399" t="s">
        <v>61</v>
      </c>
    </row>
    <row r="400" spans="1:3" x14ac:dyDescent="0.25">
      <c r="A400" t="str">
        <f>"070780606"</f>
        <v>070780606</v>
      </c>
      <c r="B400" t="str">
        <f>"EHPAD 'CHALAMBELLE'"</f>
        <v>EHPAD 'CHALAMBELLE'</v>
      </c>
      <c r="C400" t="s">
        <v>61</v>
      </c>
    </row>
    <row r="401" spans="1:3" x14ac:dyDescent="0.25">
      <c r="A401" t="str">
        <f>"070780614"</f>
        <v>070780614</v>
      </c>
      <c r="B401" t="str">
        <f>"EHPAD LES MIMOSAS"</f>
        <v>EHPAD LES MIMOSAS</v>
      </c>
      <c r="C401" t="s">
        <v>61</v>
      </c>
    </row>
    <row r="402" spans="1:3" x14ac:dyDescent="0.25">
      <c r="A402" t="str">
        <f>"070780622"</f>
        <v>070780622</v>
      </c>
      <c r="B402" t="str">
        <f>"EHPAD RESIDENCE  YVES PERRIN"</f>
        <v>EHPAD RESIDENCE  YVES PERRIN</v>
      </c>
      <c r="C402" t="s">
        <v>61</v>
      </c>
    </row>
    <row r="403" spans="1:3" x14ac:dyDescent="0.25">
      <c r="A403" t="str">
        <f>"070780630"</f>
        <v>070780630</v>
      </c>
      <c r="B403" t="str">
        <f>"EHPAD RESIDENCE VAL DE BEAUME"</f>
        <v>EHPAD RESIDENCE VAL DE BEAUME</v>
      </c>
      <c r="C403" t="s">
        <v>61</v>
      </c>
    </row>
    <row r="404" spans="1:3" x14ac:dyDescent="0.25">
      <c r="A404" t="str">
        <f>"070780648"</f>
        <v>070780648</v>
      </c>
      <c r="B404" t="str">
        <f>"EHPAD 'LA CERRENO'"</f>
        <v>EHPAD 'LA CERRENO'</v>
      </c>
      <c r="C404" t="s">
        <v>61</v>
      </c>
    </row>
    <row r="405" spans="1:3" x14ac:dyDescent="0.25">
      <c r="A405" t="str">
        <f>"070780663"</f>
        <v>070780663</v>
      </c>
      <c r="B405" t="str">
        <f>"EHPAD LES PERVENCHES"</f>
        <v>EHPAD LES PERVENCHES</v>
      </c>
      <c r="C405" t="s">
        <v>61</v>
      </c>
    </row>
    <row r="406" spans="1:3" x14ac:dyDescent="0.25">
      <c r="A406" t="str">
        <f>"070783329"</f>
        <v>070783329</v>
      </c>
      <c r="B406" t="str">
        <f>"EHPAD LEON ROUVEYROL"</f>
        <v>EHPAD LEON ROUVEYROL</v>
      </c>
      <c r="C406" t="s">
        <v>61</v>
      </c>
    </row>
    <row r="407" spans="1:3" x14ac:dyDescent="0.25">
      <c r="A407" t="str">
        <f>"070783477"</f>
        <v>070783477</v>
      </c>
      <c r="B407" t="str">
        <f>"EHPAD LES CHARMES SATILLIEU"</f>
        <v>EHPAD LES CHARMES SATILLIEU</v>
      </c>
      <c r="C407" t="s">
        <v>61</v>
      </c>
    </row>
    <row r="408" spans="1:3" x14ac:dyDescent="0.25">
      <c r="A408" t="str">
        <f>"070783493"</f>
        <v>070783493</v>
      </c>
      <c r="B408" t="str">
        <f>"EHPAD RESIDENCE MON FOYER"</f>
        <v>EHPAD RESIDENCE MON FOYER</v>
      </c>
      <c r="C408" t="s">
        <v>61</v>
      </c>
    </row>
    <row r="409" spans="1:3" x14ac:dyDescent="0.25">
      <c r="A409" t="str">
        <f>"070783501"</f>
        <v>070783501</v>
      </c>
      <c r="B409" t="str">
        <f>"EHPAD  'MAISON DE RETRAITE'ST JOSEPH"</f>
        <v>EHPAD  'MAISON DE RETRAITE'ST JOSEPH</v>
      </c>
      <c r="C409" t="s">
        <v>61</v>
      </c>
    </row>
    <row r="410" spans="1:3" x14ac:dyDescent="0.25">
      <c r="A410" t="str">
        <f>"070783527"</f>
        <v>070783527</v>
      </c>
      <c r="B410" t="str">
        <f>"MR DE PROTESTANTE MONTALIVET"</f>
        <v>MR DE PROTESTANTE MONTALIVET</v>
      </c>
      <c r="C410" t="s">
        <v>61</v>
      </c>
    </row>
    <row r="411" spans="1:3" x14ac:dyDescent="0.25">
      <c r="A411" t="str">
        <f>"070783535"</f>
        <v>070783535</v>
      </c>
      <c r="B411" t="str">
        <f>"EHPAD SAINTE-MONIQUE AUBENAS"</f>
        <v>EHPAD SAINTE-MONIQUE AUBENAS</v>
      </c>
      <c r="C411" t="s">
        <v>61</v>
      </c>
    </row>
    <row r="412" spans="1:3" x14ac:dyDescent="0.25">
      <c r="A412" t="str">
        <f>"070783543"</f>
        <v>070783543</v>
      </c>
      <c r="B412" t="str">
        <f>"EHPAD RESIDENCE DU LAC"</f>
        <v>EHPAD RESIDENCE DU LAC</v>
      </c>
      <c r="C412" t="s">
        <v>61</v>
      </c>
    </row>
    <row r="413" spans="1:3" x14ac:dyDescent="0.25">
      <c r="A413" t="str">
        <f>"070783576"</f>
        <v>070783576</v>
      </c>
      <c r="B413" t="str">
        <f>"EHPAD LE PRE DE LONG CHAMP"</f>
        <v>EHPAD LE PRE DE LONG CHAMP</v>
      </c>
      <c r="C413" t="s">
        <v>61</v>
      </c>
    </row>
    <row r="414" spans="1:3" x14ac:dyDescent="0.25">
      <c r="A414" t="str">
        <f>"070783584"</f>
        <v>070783584</v>
      </c>
      <c r="B414" t="str">
        <f>"EHPAD LE SANDRON"</f>
        <v>EHPAD LE SANDRON</v>
      </c>
      <c r="C414" t="s">
        <v>61</v>
      </c>
    </row>
    <row r="415" spans="1:3" x14ac:dyDescent="0.25">
      <c r="A415" t="str">
        <f>"070783600"</f>
        <v>070783600</v>
      </c>
      <c r="B415" t="str">
        <f>"EHPAD MARCEL COULET GUILHERAND"</f>
        <v>EHPAD MARCEL COULET GUILHERAND</v>
      </c>
      <c r="C415" t="s">
        <v>61</v>
      </c>
    </row>
    <row r="416" spans="1:3" x14ac:dyDescent="0.25">
      <c r="A416" t="str">
        <f>"070783618"</f>
        <v>070783618</v>
      </c>
      <c r="B416" t="str">
        <f>"EHPAD LES TILLEULS"</f>
        <v>EHPAD LES TILLEULS</v>
      </c>
      <c r="C416" t="s">
        <v>61</v>
      </c>
    </row>
    <row r="417" spans="1:3" x14ac:dyDescent="0.25">
      <c r="A417" t="str">
        <f>"070783626"</f>
        <v>070783626</v>
      </c>
      <c r="B417" t="str">
        <f>"EHPAD  LES MYRTILLES"</f>
        <v>EHPAD  LES MYRTILLES</v>
      </c>
      <c r="C417" t="s">
        <v>61</v>
      </c>
    </row>
    <row r="418" spans="1:3" x14ac:dyDescent="0.25">
      <c r="A418" t="str">
        <f>"070783634"</f>
        <v>070783634</v>
      </c>
      <c r="B418" t="str">
        <f>"EHPAD LES TERRASSES DE L'IBIE"</f>
        <v>EHPAD LES TERRASSES DE L'IBIE</v>
      </c>
      <c r="C418" t="s">
        <v>61</v>
      </c>
    </row>
    <row r="419" spans="1:3" x14ac:dyDescent="0.25">
      <c r="A419" t="str">
        <f>"070783642"</f>
        <v>070783642</v>
      </c>
      <c r="B419" t="str">
        <f>"EHPAD RESIDENCE 'MALGAZON'"</f>
        <v>EHPAD RESIDENCE 'MALGAZON'</v>
      </c>
      <c r="C419" t="s">
        <v>61</v>
      </c>
    </row>
    <row r="420" spans="1:3" x14ac:dyDescent="0.25">
      <c r="A420" t="str">
        <f>"070783667"</f>
        <v>070783667</v>
      </c>
      <c r="B420" t="str">
        <f>"EHPAD RESIDENCE LANCELOT"</f>
        <v>EHPAD RESIDENCE LANCELOT</v>
      </c>
      <c r="C420" t="s">
        <v>61</v>
      </c>
    </row>
    <row r="421" spans="1:3" x14ac:dyDescent="0.25">
      <c r="A421" t="str">
        <f>"070783675"</f>
        <v>070783675</v>
      </c>
      <c r="B421" t="str">
        <f>"EHPAD 'ROCHE DE FRANCE'"</f>
        <v>EHPAD 'ROCHE DE FRANCE'</v>
      </c>
      <c r="C421" t="s">
        <v>61</v>
      </c>
    </row>
    <row r="422" spans="1:3" x14ac:dyDescent="0.25">
      <c r="A422" t="str">
        <f>"070783683"</f>
        <v>070783683</v>
      </c>
      <c r="B422" t="str">
        <f>"EHPAD RESIDENCE LES PEUPLIERS"</f>
        <v>EHPAD RESIDENCE LES PEUPLIERS</v>
      </c>
      <c r="C422" t="s">
        <v>61</v>
      </c>
    </row>
    <row r="423" spans="1:3" x14ac:dyDescent="0.25">
      <c r="A423" t="str">
        <f>"070783691"</f>
        <v>070783691</v>
      </c>
      <c r="B423" t="str">
        <f>"EHPAD RESIDENCE 'LE ROUSSILLON'"</f>
        <v>EHPAD RESIDENCE 'LE ROUSSILLON'</v>
      </c>
      <c r="C423" t="s">
        <v>61</v>
      </c>
    </row>
    <row r="424" spans="1:3" x14ac:dyDescent="0.25">
      <c r="A424" t="str">
        <f>"070783709"</f>
        <v>070783709</v>
      </c>
      <c r="B424" t="str">
        <f>"EHPAD RESIDENCE 'LES VERGERS'"</f>
        <v>EHPAD RESIDENCE 'LES VERGERS'</v>
      </c>
      <c r="C424" t="s">
        <v>61</v>
      </c>
    </row>
    <row r="425" spans="1:3" x14ac:dyDescent="0.25">
      <c r="A425" t="str">
        <f>"070783774"</f>
        <v>070783774</v>
      </c>
      <c r="B425" t="str">
        <f>"EHPAD LES PINS"</f>
        <v>EHPAD LES PINS</v>
      </c>
      <c r="C425" t="s">
        <v>61</v>
      </c>
    </row>
    <row r="426" spans="1:3" x14ac:dyDescent="0.25">
      <c r="A426" t="str">
        <f>"070783816"</f>
        <v>070783816</v>
      </c>
      <c r="B426" t="str">
        <f>"EHPAD DE L'HOPITAL DE SAINT-FELICIEN"</f>
        <v>EHPAD DE L'HOPITAL DE SAINT-FELICIEN</v>
      </c>
      <c r="C426" t="s">
        <v>61</v>
      </c>
    </row>
    <row r="427" spans="1:3" x14ac:dyDescent="0.25">
      <c r="A427" t="str">
        <f>"070783832"</f>
        <v>070783832</v>
      </c>
      <c r="B427" t="str">
        <f>"EHPAD L'AMITIE"</f>
        <v>EHPAD L'AMITIE</v>
      </c>
      <c r="C427" t="s">
        <v>61</v>
      </c>
    </row>
    <row r="428" spans="1:3" x14ac:dyDescent="0.25">
      <c r="A428" t="str">
        <f>"070784046"</f>
        <v>070784046</v>
      </c>
      <c r="B428" t="str">
        <f>"EHPAD 'LES OPALINES'"</f>
        <v>EHPAD 'LES OPALINES'</v>
      </c>
      <c r="C428" t="s">
        <v>61</v>
      </c>
    </row>
    <row r="429" spans="1:3" x14ac:dyDescent="0.25">
      <c r="A429" t="str">
        <f>"070784053"</f>
        <v>070784053</v>
      </c>
      <c r="B429" t="str">
        <f>"EHPAD LA BASTIDE DU MONT VINOBRE"</f>
        <v>EHPAD LA BASTIDE DU MONT VINOBRE</v>
      </c>
      <c r="C429" t="s">
        <v>61</v>
      </c>
    </row>
    <row r="430" spans="1:3" x14ac:dyDescent="0.25">
      <c r="A430" t="str">
        <f>"070784277"</f>
        <v>070784277</v>
      </c>
      <c r="B430" t="str">
        <f>"EHPAD LE CHARNIVET"</f>
        <v>EHPAD LE CHARNIVET</v>
      </c>
      <c r="C430" t="s">
        <v>61</v>
      </c>
    </row>
    <row r="431" spans="1:3" x14ac:dyDescent="0.25">
      <c r="A431" t="str">
        <f>"070784400"</f>
        <v>070784400</v>
      </c>
      <c r="B431" t="str">
        <f>"EHPAD RESIDENCE  'LE GRAND PRE'"</f>
        <v>EHPAD RESIDENCE  'LE GRAND PRE'</v>
      </c>
      <c r="C431" t="s">
        <v>61</v>
      </c>
    </row>
    <row r="432" spans="1:3" x14ac:dyDescent="0.25">
      <c r="A432" t="str">
        <f>"070784426"</f>
        <v>070784426</v>
      </c>
      <c r="B432" t="str">
        <f>"EHPAD 'LA CLAIRIERE'"</f>
        <v>EHPAD 'LA CLAIRIERE'</v>
      </c>
      <c r="C432" t="s">
        <v>61</v>
      </c>
    </row>
    <row r="433" spans="1:3" x14ac:dyDescent="0.25">
      <c r="A433" t="str">
        <f>"070784442"</f>
        <v>070784442</v>
      </c>
      <c r="B433" t="str">
        <f>"EHPAD RESIDENCE LE MERIDIEN"</f>
        <v>EHPAD RESIDENCE LE MERIDIEN</v>
      </c>
      <c r="C433" t="s">
        <v>61</v>
      </c>
    </row>
    <row r="434" spans="1:3" x14ac:dyDescent="0.25">
      <c r="A434" t="str">
        <f>"070784467"</f>
        <v>070784467</v>
      </c>
      <c r="B434" t="str">
        <f>"EHPAD DE L'HOPITAL LOCAL DE TOURNON"</f>
        <v>EHPAD DE L'HOPITAL LOCAL DE TOURNON</v>
      </c>
      <c r="C434" t="s">
        <v>61</v>
      </c>
    </row>
    <row r="435" spans="1:3" x14ac:dyDescent="0.25">
      <c r="A435" t="str">
        <f>"070784483"</f>
        <v>070784483</v>
      </c>
      <c r="B435" t="str">
        <f>"EHPAD DU CH D'ANNONAY"</f>
        <v>EHPAD DU CH D'ANNONAY</v>
      </c>
      <c r="C435" t="s">
        <v>61</v>
      </c>
    </row>
    <row r="436" spans="1:3" x14ac:dyDescent="0.25">
      <c r="A436" t="str">
        <f>"070784525"</f>
        <v>070784525</v>
      </c>
      <c r="B436" t="str">
        <f>"EHPAD DE L'HOPITAL DE BOURG"</f>
        <v>EHPAD DE L'HOPITAL DE BOURG</v>
      </c>
      <c r="C436" t="s">
        <v>61</v>
      </c>
    </row>
    <row r="437" spans="1:3" x14ac:dyDescent="0.25">
      <c r="A437" t="str">
        <f>"070784533"</f>
        <v>070784533</v>
      </c>
      <c r="B437" t="str">
        <f>"EHPAD DE L'HOPITAL DE JOYEUSE"</f>
        <v>EHPAD DE L'HOPITAL DE JOYEUSE</v>
      </c>
      <c r="C437" t="s">
        <v>61</v>
      </c>
    </row>
    <row r="438" spans="1:3" x14ac:dyDescent="0.25">
      <c r="A438" t="str">
        <f>"070784541"</f>
        <v>070784541</v>
      </c>
      <c r="B438" t="str">
        <f>"EHPAD DE L'HOPITAL DE LA VOULTE"</f>
        <v>EHPAD DE L'HOPITAL DE LA VOULTE</v>
      </c>
      <c r="C438" t="s">
        <v>61</v>
      </c>
    </row>
    <row r="439" spans="1:3" x14ac:dyDescent="0.25">
      <c r="A439" t="str">
        <f>"070784558"</f>
        <v>070784558</v>
      </c>
      <c r="B439" t="str">
        <f>"EHPAD DU CH DE LAMASTRE"</f>
        <v>EHPAD DU CH DE LAMASTRE</v>
      </c>
      <c r="C439" t="s">
        <v>61</v>
      </c>
    </row>
    <row r="440" spans="1:3" x14ac:dyDescent="0.25">
      <c r="A440" t="str">
        <f>"070784566"</f>
        <v>070784566</v>
      </c>
      <c r="B440" t="str">
        <f>"EHPAD HLI DE ROCHER/LARGENTIERE"</f>
        <v>EHPAD HLI DE ROCHER/LARGENTIERE</v>
      </c>
      <c r="C440" t="s">
        <v>61</v>
      </c>
    </row>
    <row r="441" spans="1:3" x14ac:dyDescent="0.25">
      <c r="A441" t="str">
        <f>"070784574"</f>
        <v>070784574</v>
      </c>
      <c r="B441" t="str">
        <f>"EHPAD DE L'HOPITAL DE CHEYLARD"</f>
        <v>EHPAD DE L'HOPITAL DE CHEYLARD</v>
      </c>
      <c r="C441" t="s">
        <v>61</v>
      </c>
    </row>
    <row r="442" spans="1:3" x14ac:dyDescent="0.25">
      <c r="A442" t="str">
        <f>"070784582"</f>
        <v>070784582</v>
      </c>
      <c r="B442" t="str">
        <f>"EHPAD DU CH LEOPOLD OLLIER"</f>
        <v>EHPAD DU CH LEOPOLD OLLIER</v>
      </c>
      <c r="C442" t="s">
        <v>61</v>
      </c>
    </row>
    <row r="443" spans="1:3" x14ac:dyDescent="0.25">
      <c r="A443" t="str">
        <f>"070784590"</f>
        <v>070784590</v>
      </c>
      <c r="B443" t="str">
        <f>"EHPAD CAMOUS -SALOMON"</f>
        <v>EHPAD CAMOUS -SALOMON</v>
      </c>
      <c r="C443" t="s">
        <v>61</v>
      </c>
    </row>
    <row r="444" spans="1:3" x14ac:dyDescent="0.25">
      <c r="A444" t="str">
        <f>"070784608"</f>
        <v>070784608</v>
      </c>
      <c r="B444" t="str">
        <f>"EHPAD DE L'HOPITAL DE SERRIERES"</f>
        <v>EHPAD DE L'HOPITAL DE SERRIERES</v>
      </c>
      <c r="C444" t="s">
        <v>61</v>
      </c>
    </row>
    <row r="445" spans="1:3" x14ac:dyDescent="0.25">
      <c r="A445" t="str">
        <f>"070784616"</f>
        <v>070784616</v>
      </c>
      <c r="B445" t="str">
        <f>"EHPAD DE L'HOPITAL DE VALLON"</f>
        <v>EHPAD DE L'HOPITAL DE VALLON</v>
      </c>
      <c r="C445" t="s">
        <v>61</v>
      </c>
    </row>
    <row r="446" spans="1:3" x14ac:dyDescent="0.25">
      <c r="A446" t="str">
        <f>"070784624"</f>
        <v>070784624</v>
      </c>
      <c r="B446" t="str">
        <f>"EHPAD RESIDENCE BEAUREGARD  DE VERNOUX"</f>
        <v>EHPAD RESIDENCE BEAUREGARD  DE VERNOUX</v>
      </c>
      <c r="C446" t="s">
        <v>61</v>
      </c>
    </row>
    <row r="447" spans="1:3" x14ac:dyDescent="0.25">
      <c r="A447" t="str">
        <f>"070784632"</f>
        <v>070784632</v>
      </c>
      <c r="B447" t="str">
        <f>"EHPAD 'LES CIGALINES'"</f>
        <v>EHPAD 'LES CIGALINES'</v>
      </c>
      <c r="C447" t="s">
        <v>61</v>
      </c>
    </row>
    <row r="448" spans="1:3" x14ac:dyDescent="0.25">
      <c r="A448" t="str">
        <f>"070784640"</f>
        <v>070784640</v>
      </c>
      <c r="B448" t="str">
        <f>"EHPAD DE L'HOPITAL DE VIVIERS"</f>
        <v>EHPAD DE L'HOPITAL DE VIVIERS</v>
      </c>
      <c r="C448" t="s">
        <v>61</v>
      </c>
    </row>
    <row r="449" spans="1:3" x14ac:dyDescent="0.25">
      <c r="A449" t="str">
        <f>"070784665"</f>
        <v>070784665</v>
      </c>
      <c r="B449" t="str">
        <f>"EHPAD DE L'HOPITAL PRIVE DE ST-AGREVE"</f>
        <v>EHPAD DE L'HOPITAL PRIVE DE ST-AGREVE</v>
      </c>
      <c r="C449" t="s">
        <v>61</v>
      </c>
    </row>
    <row r="450" spans="1:3" x14ac:dyDescent="0.25">
      <c r="A450" t="str">
        <f>"070785118"</f>
        <v>070785118</v>
      </c>
      <c r="B450" t="str">
        <f>"EHPAD RESIDENCE LES BAINS"</f>
        <v>EHPAD RESIDENCE LES BAINS</v>
      </c>
      <c r="C450" t="s">
        <v>61</v>
      </c>
    </row>
    <row r="451" spans="1:3" x14ac:dyDescent="0.25">
      <c r="A451" t="str">
        <f>"070785944"</f>
        <v>070785944</v>
      </c>
      <c r="B451" t="str">
        <f>"EHPAD KORIAN LA BASTIDE"</f>
        <v>EHPAD KORIAN LA BASTIDE</v>
      </c>
      <c r="C451" t="s">
        <v>61</v>
      </c>
    </row>
    <row r="452" spans="1:3" x14ac:dyDescent="0.25">
      <c r="A452" t="str">
        <f>"070786033"</f>
        <v>070786033</v>
      </c>
      <c r="B452" t="str">
        <f>"EHPAD SAINT JOSEPH"</f>
        <v>EHPAD SAINT JOSEPH</v>
      </c>
      <c r="C452" t="s">
        <v>61</v>
      </c>
    </row>
    <row r="453" spans="1:3" x14ac:dyDescent="0.25">
      <c r="A453" t="str">
        <f>"070786074"</f>
        <v>070786074</v>
      </c>
      <c r="B453" t="str">
        <f>"EHPAD RESIDENCE ROCHEMURE"</f>
        <v>EHPAD RESIDENCE ROCHEMURE</v>
      </c>
      <c r="C453" t="s">
        <v>61</v>
      </c>
    </row>
    <row r="454" spans="1:3" x14ac:dyDescent="0.25">
      <c r="A454" t="str">
        <f>"070786264"</f>
        <v>070786264</v>
      </c>
      <c r="B454" t="str">
        <f>"EHPAD RESIDENCE 'LES OPALINES VIVIERS'"</f>
        <v>EHPAD RESIDENCE 'LES OPALINES VIVIERS'</v>
      </c>
      <c r="C454" t="s">
        <v>61</v>
      </c>
    </row>
    <row r="455" spans="1:3" x14ac:dyDescent="0.25">
      <c r="A455" t="str">
        <f>"070786439"</f>
        <v>070786439</v>
      </c>
      <c r="B455" t="str">
        <f>"EHPAD LES TAMARIS"</f>
        <v>EHPAD LES TAMARIS</v>
      </c>
      <c r="C455" t="s">
        <v>61</v>
      </c>
    </row>
    <row r="456" spans="1:3" x14ac:dyDescent="0.25">
      <c r="A456" t="str">
        <f>"070786553"</f>
        <v>070786553</v>
      </c>
      <c r="B456" t="str">
        <f>"EHPAD LES LAVANDES"</f>
        <v>EHPAD LES LAVANDES</v>
      </c>
      <c r="C456" t="s">
        <v>61</v>
      </c>
    </row>
    <row r="457" spans="1:3" x14ac:dyDescent="0.25">
      <c r="A457" t="str">
        <f>"080002017"</f>
        <v>080002017</v>
      </c>
      <c r="B457" t="str">
        <f>"EHPAD  DE FLAMANVILLE"</f>
        <v>EHPAD  DE FLAMANVILLE</v>
      </c>
      <c r="C457" t="s">
        <v>62</v>
      </c>
    </row>
    <row r="458" spans="1:3" x14ac:dyDescent="0.25">
      <c r="A458" t="str">
        <f>"080002025"</f>
        <v>080002025</v>
      </c>
      <c r="B458" t="str">
        <f>"EHPAD LES VIGNES"</f>
        <v>EHPAD LES VIGNES</v>
      </c>
      <c r="C458" t="s">
        <v>62</v>
      </c>
    </row>
    <row r="459" spans="1:3" x14ac:dyDescent="0.25">
      <c r="A459" t="str">
        <f>"080002033"</f>
        <v>080002033</v>
      </c>
      <c r="B459" t="str">
        <f>"EHPAD ST BENOIT"</f>
        <v>EHPAD ST BENOIT</v>
      </c>
      <c r="C459" t="s">
        <v>62</v>
      </c>
    </row>
    <row r="460" spans="1:3" x14ac:dyDescent="0.25">
      <c r="A460" t="str">
        <f>"080002041"</f>
        <v>080002041</v>
      </c>
      <c r="B460" t="str">
        <f>"EHPAD DE L'ABBAYE"</f>
        <v>EHPAD DE L'ABBAYE</v>
      </c>
      <c r="C460" t="s">
        <v>62</v>
      </c>
    </row>
    <row r="461" spans="1:3" x14ac:dyDescent="0.25">
      <c r="A461" t="str">
        <f>"080002058"</f>
        <v>080002058</v>
      </c>
      <c r="B461" t="str">
        <f>"EHPAD DE ROCROI"</f>
        <v>EHPAD DE ROCROI</v>
      </c>
      <c r="C461" t="s">
        <v>62</v>
      </c>
    </row>
    <row r="462" spans="1:3" x14ac:dyDescent="0.25">
      <c r="A462" t="str">
        <f>"080002066"</f>
        <v>080002066</v>
      </c>
      <c r="B462" t="str">
        <f>"EHPAD LINARD"</f>
        <v>EHPAD LINARD</v>
      </c>
      <c r="C462" t="s">
        <v>62</v>
      </c>
    </row>
    <row r="463" spans="1:3" x14ac:dyDescent="0.25">
      <c r="A463" t="str">
        <f>"080003304"</f>
        <v>080003304</v>
      </c>
      <c r="B463" t="str">
        <f>"EHPAD MARIE BLAISE"</f>
        <v>EHPAD MARIE BLAISE</v>
      </c>
      <c r="C463" t="s">
        <v>62</v>
      </c>
    </row>
    <row r="464" spans="1:3" x14ac:dyDescent="0.25">
      <c r="A464" t="str">
        <f>"080003312"</f>
        <v>080003312</v>
      </c>
      <c r="B464" t="str">
        <f>"EHPAD RES ST ANTOINE"</f>
        <v>EHPAD RES ST ANTOINE</v>
      </c>
      <c r="C464" t="s">
        <v>62</v>
      </c>
    </row>
    <row r="465" spans="1:3" x14ac:dyDescent="0.25">
      <c r="A465" t="str">
        <f>"080003379"</f>
        <v>080003379</v>
      </c>
      <c r="B465" t="str">
        <f>"EHPAD PATRICE GROFF"</f>
        <v>EHPAD PATRICE GROFF</v>
      </c>
      <c r="C465" t="s">
        <v>62</v>
      </c>
    </row>
    <row r="466" spans="1:3" x14ac:dyDescent="0.25">
      <c r="A466" t="str">
        <f>"080003395"</f>
        <v>080003395</v>
      </c>
      <c r="B466" t="str">
        <f>"EHPAD GENEVIÈVE DE GAULLE ANTHONIOZ"</f>
        <v>EHPAD GENEVIÈVE DE GAULLE ANTHONIOZ</v>
      </c>
      <c r="C466" t="s">
        <v>62</v>
      </c>
    </row>
    <row r="467" spans="1:3" x14ac:dyDescent="0.25">
      <c r="A467" t="str">
        <f>"080003643"</f>
        <v>080003643</v>
      </c>
      <c r="B467" t="str">
        <f>"EHPAD LA RESIDENCE"</f>
        <v>EHPAD LA RESIDENCE</v>
      </c>
      <c r="C467" t="s">
        <v>62</v>
      </c>
    </row>
    <row r="468" spans="1:3" x14ac:dyDescent="0.25">
      <c r="A468" t="str">
        <f>"080003684"</f>
        <v>080003684</v>
      </c>
      <c r="B468" t="str">
        <f>"EHPAD GLAIRE"</f>
        <v>EHPAD GLAIRE</v>
      </c>
      <c r="C468" t="s">
        <v>62</v>
      </c>
    </row>
    <row r="469" spans="1:3" x14ac:dyDescent="0.25">
      <c r="A469" t="str">
        <f>"080003692"</f>
        <v>080003692</v>
      </c>
      <c r="B469" t="str">
        <f>"EHPAD LES PEUPLIERS"</f>
        <v>EHPAD LES PEUPLIERS</v>
      </c>
      <c r="C469" t="s">
        <v>62</v>
      </c>
    </row>
    <row r="470" spans="1:3" x14ac:dyDescent="0.25">
      <c r="A470" t="str">
        <f>"080003718"</f>
        <v>080003718</v>
      </c>
      <c r="B470" t="str">
        <f>"EHPAD LEON BRACONNIER"</f>
        <v>EHPAD LEON BRACONNIER</v>
      </c>
      <c r="C470" t="s">
        <v>62</v>
      </c>
    </row>
    <row r="471" spans="1:3" x14ac:dyDescent="0.25">
      <c r="A471" t="str">
        <f>"080005705"</f>
        <v>080005705</v>
      </c>
      <c r="B471" t="str">
        <f>"EHPAD SOLFERINO"</f>
        <v>EHPAD SOLFERINO</v>
      </c>
      <c r="C471" t="s">
        <v>62</v>
      </c>
    </row>
    <row r="472" spans="1:3" x14ac:dyDescent="0.25">
      <c r="A472" t="str">
        <f>"080006018"</f>
        <v>080006018</v>
      </c>
      <c r="B472" t="str">
        <f>"EHPAD LE PRE DU SART"</f>
        <v>EHPAD LE PRE DU SART</v>
      </c>
      <c r="C472" t="s">
        <v>62</v>
      </c>
    </row>
    <row r="473" spans="1:3" x14ac:dyDescent="0.25">
      <c r="A473" t="str">
        <f>"080006067"</f>
        <v>080006067</v>
      </c>
      <c r="B473" t="str">
        <f>"EHPAD ROLLAND GARROS - LES TILLEULS"</f>
        <v>EHPAD ROLLAND GARROS - LES TILLEULS</v>
      </c>
      <c r="C473" t="s">
        <v>62</v>
      </c>
    </row>
    <row r="474" spans="1:3" x14ac:dyDescent="0.25">
      <c r="A474" t="str">
        <f>"080006174"</f>
        <v>080006174</v>
      </c>
      <c r="B474" t="str">
        <f>"EHPAD DU CH DE FUMAY"</f>
        <v>EHPAD DU CH DE FUMAY</v>
      </c>
      <c r="C474" t="s">
        <v>62</v>
      </c>
    </row>
    <row r="475" spans="1:3" x14ac:dyDescent="0.25">
      <c r="A475" t="str">
        <f>"080006182"</f>
        <v>080006182</v>
      </c>
      <c r="B475" t="str">
        <f>"EHPAD DE NOUZONVILLE"</f>
        <v>EHPAD DE NOUZONVILLE</v>
      </c>
      <c r="C475" t="s">
        <v>62</v>
      </c>
    </row>
    <row r="476" spans="1:3" x14ac:dyDescent="0.25">
      <c r="A476" t="str">
        <f>"080006224"</f>
        <v>080006224</v>
      </c>
      <c r="B476" t="str">
        <f>"EHPAD DU CCAS - GDE TERRE"</f>
        <v>EHPAD DU CCAS - GDE TERRE</v>
      </c>
      <c r="C476" t="s">
        <v>62</v>
      </c>
    </row>
    <row r="477" spans="1:3" x14ac:dyDescent="0.25">
      <c r="A477" t="str">
        <f>"080007370"</f>
        <v>080007370</v>
      </c>
      <c r="B477" t="str">
        <f>"EHPAD RES VAL DE MEUSE"</f>
        <v>EHPAD RES VAL DE MEUSE</v>
      </c>
      <c r="C477" t="s">
        <v>62</v>
      </c>
    </row>
    <row r="478" spans="1:3" x14ac:dyDescent="0.25">
      <c r="A478" t="str">
        <f>"080007735"</f>
        <v>080007735</v>
      </c>
      <c r="B478" t="str">
        <f>"EHPAD JEAN JAURES"</f>
        <v>EHPAD JEAN JAURES</v>
      </c>
      <c r="C478" t="s">
        <v>62</v>
      </c>
    </row>
    <row r="479" spans="1:3" x14ac:dyDescent="0.25">
      <c r="A479" t="str">
        <f>"080008204"</f>
        <v>080008204</v>
      </c>
      <c r="B479" t="str">
        <f>"EHPAD RES MARCADET"</f>
        <v>EHPAD RES MARCADET</v>
      </c>
      <c r="C479" t="s">
        <v>62</v>
      </c>
    </row>
    <row r="480" spans="1:3" x14ac:dyDescent="0.25">
      <c r="A480" t="str">
        <f>"080009178"</f>
        <v>080009178</v>
      </c>
      <c r="B480" t="str">
        <f>"EHPAD LA PETITE VENISE"</f>
        <v>EHPAD LA PETITE VENISE</v>
      </c>
      <c r="C480" t="s">
        <v>62</v>
      </c>
    </row>
    <row r="481" spans="1:3" x14ac:dyDescent="0.25">
      <c r="A481" t="str">
        <f>"080009319"</f>
        <v>080009319</v>
      </c>
      <c r="B481" t="str">
        <f>"EHPAD DU CCAS-LES PAQUIS"</f>
        <v>EHPAD DU CCAS-LES PAQUIS</v>
      </c>
      <c r="C481" t="s">
        <v>62</v>
      </c>
    </row>
    <row r="482" spans="1:3" x14ac:dyDescent="0.25">
      <c r="A482" t="str">
        <f>"080009368"</f>
        <v>080009368</v>
      </c>
      <c r="B482" t="str">
        <f>"EHPAD RES DUCALE"</f>
        <v>EHPAD RES DUCALE</v>
      </c>
      <c r="C482" t="s">
        <v>62</v>
      </c>
    </row>
    <row r="483" spans="1:3" x14ac:dyDescent="0.25">
      <c r="A483" t="str">
        <f>"080009947"</f>
        <v>080009947</v>
      </c>
      <c r="B483" t="str">
        <f>"EHPAD CENTRE DE SANTE"</f>
        <v>EHPAD CENTRE DE SANTE</v>
      </c>
      <c r="C483" t="s">
        <v>62</v>
      </c>
    </row>
    <row r="484" spans="1:3" x14ac:dyDescent="0.25">
      <c r="A484" t="str">
        <f>"080009962"</f>
        <v>080009962</v>
      </c>
      <c r="B484" t="str">
        <f>"EHPAD RES LA DEMOISELLE"</f>
        <v>EHPAD RES LA DEMOISELLE</v>
      </c>
      <c r="C484" t="s">
        <v>62</v>
      </c>
    </row>
    <row r="485" spans="1:3" x14ac:dyDescent="0.25">
      <c r="A485" t="str">
        <f>"080009970"</f>
        <v>080009970</v>
      </c>
      <c r="B485" t="str">
        <f>"EHPAD RES DES HARAS"</f>
        <v>EHPAD RES DES HARAS</v>
      </c>
      <c r="C485" t="s">
        <v>62</v>
      </c>
    </row>
    <row r="486" spans="1:3" x14ac:dyDescent="0.25">
      <c r="A486" t="str">
        <f>"080009988"</f>
        <v>080009988</v>
      </c>
      <c r="B486" t="str">
        <f>"EHPAD DE LIART"</f>
        <v>EHPAD DE LIART</v>
      </c>
      <c r="C486" t="s">
        <v>62</v>
      </c>
    </row>
    <row r="487" spans="1:3" x14ac:dyDescent="0.25">
      <c r="A487" t="str">
        <f>"080010499"</f>
        <v>080010499</v>
      </c>
      <c r="B487" t="str">
        <f>"EHPAD DOCTEUR L'HOSTE"</f>
        <v>EHPAD DOCTEUR L'HOSTE</v>
      </c>
      <c r="C487" t="s">
        <v>62</v>
      </c>
    </row>
    <row r="488" spans="1:3" x14ac:dyDescent="0.25">
      <c r="A488" t="str">
        <f>"090000399"</f>
        <v>090000399</v>
      </c>
      <c r="B488" t="str">
        <f>"EHPAD DU CHIVA SITE LAROQUE D'OLMES"</f>
        <v>EHPAD DU CHIVA SITE LAROQUE D'OLMES</v>
      </c>
      <c r="C488" t="s">
        <v>77</v>
      </c>
    </row>
    <row r="489" spans="1:3" x14ac:dyDescent="0.25">
      <c r="A489" t="str">
        <f>"090000597"</f>
        <v>090000597</v>
      </c>
      <c r="B489" t="str">
        <f>"EHPAD DE LUZENAC"</f>
        <v>EHPAD DE LUZENAC</v>
      </c>
      <c r="C489" t="s">
        <v>77</v>
      </c>
    </row>
    <row r="490" spans="1:3" x14ac:dyDescent="0.25">
      <c r="A490" t="str">
        <f>"090000605"</f>
        <v>090000605</v>
      </c>
      <c r="B490" t="str">
        <f>"EHPAD DE DAUMAZAN"</f>
        <v>EHPAD DE DAUMAZAN</v>
      </c>
      <c r="C490" t="s">
        <v>77</v>
      </c>
    </row>
    <row r="491" spans="1:3" x14ac:dyDescent="0.25">
      <c r="A491" t="str">
        <f>"090000613"</f>
        <v>090000613</v>
      </c>
      <c r="B491" t="str">
        <f>"EHPAD DU MAS D'AZIL"</f>
        <v>EHPAD DU MAS D'AZIL</v>
      </c>
      <c r="C491" t="s">
        <v>77</v>
      </c>
    </row>
    <row r="492" spans="1:3" x14ac:dyDescent="0.25">
      <c r="A492" t="str">
        <f>"090001439"</f>
        <v>090001439</v>
      </c>
      <c r="B492" t="str">
        <f>"EHPAD SAUZEIL"</f>
        <v>EHPAD SAUZEIL</v>
      </c>
      <c r="C492" t="s">
        <v>77</v>
      </c>
    </row>
    <row r="493" spans="1:3" x14ac:dyDescent="0.25">
      <c r="A493" t="str">
        <f>"090002940"</f>
        <v>090002940</v>
      </c>
      <c r="B493" t="str">
        <f>"PUV L'OUSTAL"</f>
        <v>PUV L'OUSTAL</v>
      </c>
      <c r="C493" t="s">
        <v>77</v>
      </c>
    </row>
    <row r="494" spans="1:3" x14ac:dyDescent="0.25">
      <c r="A494" t="str">
        <f>"090003005"</f>
        <v>090003005</v>
      </c>
      <c r="B494" t="str">
        <f>"EHPAD DES SOURCES"</f>
        <v>EHPAD DES SOURCES</v>
      </c>
      <c r="C494" t="s">
        <v>77</v>
      </c>
    </row>
    <row r="495" spans="1:3" x14ac:dyDescent="0.25">
      <c r="A495" t="str">
        <f>"090780131"</f>
        <v>090780131</v>
      </c>
      <c r="B495" t="str">
        <f>"EHPAD DE MIREPOIX"</f>
        <v>EHPAD DE MIREPOIX</v>
      </c>
      <c r="C495" t="s">
        <v>77</v>
      </c>
    </row>
    <row r="496" spans="1:3" x14ac:dyDescent="0.25">
      <c r="A496" t="str">
        <f>"090780149"</f>
        <v>090780149</v>
      </c>
      <c r="B496" t="str">
        <f>"RES COUSERANS PYRENEES SITE ERCE"</f>
        <v>RES COUSERANS PYRENEES SITE ERCE</v>
      </c>
      <c r="C496" t="s">
        <v>77</v>
      </c>
    </row>
    <row r="497" spans="1:3" x14ac:dyDescent="0.25">
      <c r="A497" t="str">
        <f>"090780156"</f>
        <v>090780156</v>
      </c>
      <c r="B497" t="str">
        <f>"EHPAD PUBLIC DE MAZERES"</f>
        <v>EHPAD PUBLIC DE MAZERES</v>
      </c>
      <c r="C497" t="s">
        <v>77</v>
      </c>
    </row>
    <row r="498" spans="1:3" x14ac:dyDescent="0.25">
      <c r="A498" t="str">
        <f>"090780362"</f>
        <v>090780362</v>
      </c>
      <c r="B498" t="str">
        <f>"EHPAD DE SAVERDUN"</f>
        <v>EHPAD DE SAVERDUN</v>
      </c>
      <c r="C498" t="s">
        <v>77</v>
      </c>
    </row>
    <row r="499" spans="1:3" x14ac:dyDescent="0.25">
      <c r="A499" t="str">
        <f>"090780461"</f>
        <v>090780461</v>
      </c>
      <c r="B499" t="str">
        <f>"EHPAD DE FABAS"</f>
        <v>EHPAD DE FABAS</v>
      </c>
      <c r="C499" t="s">
        <v>77</v>
      </c>
    </row>
    <row r="500" spans="1:3" x14ac:dyDescent="0.25">
      <c r="A500" t="str">
        <f>"090781477"</f>
        <v>090781477</v>
      </c>
      <c r="B500" t="str">
        <f>"EHPAD DU CHIVA SITE BELLISSEN"</f>
        <v>EHPAD DU CHIVA SITE BELLISSEN</v>
      </c>
      <c r="C500" t="s">
        <v>77</v>
      </c>
    </row>
    <row r="501" spans="1:3" x14ac:dyDescent="0.25">
      <c r="A501" t="str">
        <f>"090781535"</f>
        <v>090781535</v>
      </c>
      <c r="B501" t="str">
        <f>"EHPAD CHAC ST GIRONS"</f>
        <v>EHPAD CHAC ST GIRONS</v>
      </c>
      <c r="C501" t="s">
        <v>77</v>
      </c>
    </row>
    <row r="502" spans="1:3" x14ac:dyDescent="0.25">
      <c r="A502" t="str">
        <f>"090781543"</f>
        <v>090781543</v>
      </c>
      <c r="B502" t="str">
        <f>"EHPAD DU CHIVA SITE RES. DU TOUYRE"</f>
        <v>EHPAD DU CHIVA SITE RES. DU TOUYRE</v>
      </c>
      <c r="C502" t="s">
        <v>77</v>
      </c>
    </row>
    <row r="503" spans="1:3" x14ac:dyDescent="0.25">
      <c r="A503" t="str">
        <f>"090781634"</f>
        <v>090781634</v>
      </c>
      <c r="B503" t="str">
        <f>"EHPAD SAINT JOSEPH"</f>
        <v>EHPAD SAINT JOSEPH</v>
      </c>
      <c r="C503" t="s">
        <v>77</v>
      </c>
    </row>
    <row r="504" spans="1:3" x14ac:dyDescent="0.25">
      <c r="A504" t="str">
        <f>"090781642"</f>
        <v>090781642</v>
      </c>
      <c r="B504" t="str">
        <f>"EHPAD 'LE CHATEAU'"</f>
        <v>EHPAD 'LE CHATEAU'</v>
      </c>
      <c r="C504" t="s">
        <v>77</v>
      </c>
    </row>
    <row r="505" spans="1:3" x14ac:dyDescent="0.25">
      <c r="A505" t="str">
        <f>"090781964"</f>
        <v>090781964</v>
      </c>
      <c r="B505" t="str">
        <f>"EHPAD DU CHIVA SITE BARIOL"</f>
        <v>EHPAD DU CHIVA SITE BARIOL</v>
      </c>
      <c r="C505" t="s">
        <v>77</v>
      </c>
    </row>
    <row r="506" spans="1:3" x14ac:dyDescent="0.25">
      <c r="A506" t="str">
        <f>"090781998"</f>
        <v>090781998</v>
      </c>
      <c r="B506" t="str">
        <f>"EHPAD DE MASSAT"</f>
        <v>EHPAD DE MASSAT</v>
      </c>
      <c r="C506" t="s">
        <v>77</v>
      </c>
    </row>
    <row r="507" spans="1:3" x14ac:dyDescent="0.25">
      <c r="A507" t="str">
        <f>"090782228"</f>
        <v>090782228</v>
      </c>
      <c r="B507" t="str">
        <f>"EHPAD DE BELESTA"</f>
        <v>EHPAD DE BELESTA</v>
      </c>
      <c r="C507" t="s">
        <v>77</v>
      </c>
    </row>
    <row r="508" spans="1:3" x14ac:dyDescent="0.25">
      <c r="A508" t="str">
        <f>"090782285"</f>
        <v>090782285</v>
      </c>
      <c r="B508" t="str">
        <f>"EHPAD DE LEZAT"</f>
        <v>EHPAD DE LEZAT</v>
      </c>
      <c r="C508" t="s">
        <v>77</v>
      </c>
    </row>
    <row r="509" spans="1:3" x14ac:dyDescent="0.25">
      <c r="A509" t="str">
        <f>"090782343"</f>
        <v>090782343</v>
      </c>
      <c r="B509" t="str">
        <f>"RESIDENCE JULES ROUSSE"</f>
        <v>RESIDENCE JULES ROUSSE</v>
      </c>
      <c r="C509" t="s">
        <v>77</v>
      </c>
    </row>
    <row r="510" spans="1:3" x14ac:dyDescent="0.25">
      <c r="A510" t="str">
        <f>"090782616"</f>
        <v>090782616</v>
      </c>
      <c r="B510" t="str">
        <f>"EHPAD DE LA BASTIDE DE SEROU"</f>
        <v>EHPAD DE LA BASTIDE DE SEROU</v>
      </c>
      <c r="C510" t="s">
        <v>77</v>
      </c>
    </row>
    <row r="511" spans="1:3" x14ac:dyDescent="0.25">
      <c r="A511" t="str">
        <f>"090782624"</f>
        <v>090782624</v>
      </c>
      <c r="B511" t="str">
        <f>"EHPAD RESIDENCE PAUL ANE"</f>
        <v>EHPAD RESIDENCE PAUL ANE</v>
      </c>
      <c r="C511" t="s">
        <v>77</v>
      </c>
    </row>
    <row r="512" spans="1:3" x14ac:dyDescent="0.25">
      <c r="A512" t="str">
        <f>"090782707"</f>
        <v>090782707</v>
      </c>
      <c r="B512" t="str">
        <f>"EHPAD CH SAINT LOUIS"</f>
        <v>EHPAD CH SAINT LOUIS</v>
      </c>
      <c r="C512" t="s">
        <v>77</v>
      </c>
    </row>
    <row r="513" spans="1:3" x14ac:dyDescent="0.25">
      <c r="A513" t="str">
        <f>"090782806"</f>
        <v>090782806</v>
      </c>
      <c r="B513" t="str">
        <f>"EHPAD LA MADRAGUE DU FOSSAT"</f>
        <v>EHPAD LA MADRAGUE DU FOSSAT</v>
      </c>
      <c r="C513" t="s">
        <v>77</v>
      </c>
    </row>
    <row r="514" spans="1:3" x14ac:dyDescent="0.25">
      <c r="A514" t="str">
        <f>"090782970"</f>
        <v>090782970</v>
      </c>
      <c r="B514" t="str">
        <f>"RES COUSERANS PYRENEES SAINT-LIZIER"</f>
        <v>RES COUSERANS PYRENEES SAINT-LIZIER</v>
      </c>
      <c r="C514" t="s">
        <v>77</v>
      </c>
    </row>
    <row r="515" spans="1:3" x14ac:dyDescent="0.25">
      <c r="A515" t="str">
        <f>"090783259"</f>
        <v>090783259</v>
      </c>
      <c r="B515" t="str">
        <f>"EHPAD GASTON DE FOIX KORIAN"</f>
        <v>EHPAD GASTON DE FOIX KORIAN</v>
      </c>
      <c r="C515" t="s">
        <v>77</v>
      </c>
    </row>
    <row r="516" spans="1:3" x14ac:dyDescent="0.25">
      <c r="A516" t="str">
        <f>"090783283"</f>
        <v>090783283</v>
      </c>
      <c r="B516" t="str">
        <f>"EHPAD DE CASTILLON"</f>
        <v>EHPAD DE CASTILLON</v>
      </c>
      <c r="C516" t="s">
        <v>77</v>
      </c>
    </row>
    <row r="517" spans="1:3" x14ac:dyDescent="0.25">
      <c r="A517" t="str">
        <f>"090783341"</f>
        <v>090783341</v>
      </c>
      <c r="B517" t="str">
        <f>"EHPAD DE  PRAT BONREPAUX"</f>
        <v>EHPAD DE  PRAT BONREPAUX</v>
      </c>
      <c r="C517" t="s">
        <v>77</v>
      </c>
    </row>
    <row r="518" spans="1:3" x14ac:dyDescent="0.25">
      <c r="A518" t="str">
        <f>"090783846"</f>
        <v>090783846</v>
      </c>
      <c r="B518" t="str">
        <f>"EHPAD DE STE CROIX VOLVESTRE"</f>
        <v>EHPAD DE STE CROIX VOLVESTRE</v>
      </c>
      <c r="C518" t="s">
        <v>77</v>
      </c>
    </row>
    <row r="519" spans="1:3" x14ac:dyDescent="0.25">
      <c r="A519" t="str">
        <f>"090783945"</f>
        <v>090783945</v>
      </c>
      <c r="B519" t="str">
        <f>"EHPAD MRS CHAC ST GIRONS"</f>
        <v>EHPAD MRS CHAC ST GIRONS</v>
      </c>
      <c r="C519" t="s">
        <v>77</v>
      </c>
    </row>
    <row r="520" spans="1:3" x14ac:dyDescent="0.25">
      <c r="A520" t="str">
        <f>"100000066"</f>
        <v>100000066</v>
      </c>
      <c r="B520" t="str">
        <f>"EHPAD ÎLE OLIVE ET MOULINS DE NOGENT"</f>
        <v>EHPAD ÎLE OLIVE ET MOULINS DE NOGENT</v>
      </c>
      <c r="C520" t="s">
        <v>62</v>
      </c>
    </row>
    <row r="521" spans="1:3" x14ac:dyDescent="0.25">
      <c r="A521" t="str">
        <f>"100000249"</f>
        <v>100000249</v>
      </c>
      <c r="B521" t="str">
        <f>"EHPAD LA BELLE VERRIÈRE"</f>
        <v>EHPAD LA BELLE VERRIÈRE</v>
      </c>
      <c r="C521" t="s">
        <v>62</v>
      </c>
    </row>
    <row r="522" spans="1:3" x14ac:dyDescent="0.25">
      <c r="A522" t="str">
        <f>"100000306"</f>
        <v>100000306</v>
      </c>
      <c r="B522" t="str">
        <f>"EHPAD ASIMAT MON REPOS"</f>
        <v>EHPAD ASIMAT MON REPOS</v>
      </c>
      <c r="C522" t="s">
        <v>62</v>
      </c>
    </row>
    <row r="523" spans="1:3" x14ac:dyDescent="0.25">
      <c r="A523" t="str">
        <f>"100000348"</f>
        <v>100000348</v>
      </c>
      <c r="B523" t="str">
        <f>"EHPAD ST VINCENT DE PAUL"</f>
        <v>EHPAD ST VINCENT DE PAUL</v>
      </c>
      <c r="C523" t="s">
        <v>62</v>
      </c>
    </row>
    <row r="524" spans="1:3" x14ac:dyDescent="0.25">
      <c r="A524" t="str">
        <f>"100000389"</f>
        <v>100000389</v>
      </c>
      <c r="B524" t="str">
        <f>"EHPAD LA PROVIDENCE"</f>
        <v>EHPAD LA PROVIDENCE</v>
      </c>
      <c r="C524" t="s">
        <v>62</v>
      </c>
    </row>
    <row r="525" spans="1:3" x14ac:dyDescent="0.25">
      <c r="A525" t="str">
        <f>"100001239"</f>
        <v>100001239</v>
      </c>
      <c r="B525" t="str">
        <f>"EHPAD LA MAISON DU PAYS DE RAMERUPT"</f>
        <v>EHPAD LA MAISON DU PAYS DE RAMERUPT</v>
      </c>
      <c r="C525" t="s">
        <v>62</v>
      </c>
    </row>
    <row r="526" spans="1:3" x14ac:dyDescent="0.25">
      <c r="A526" t="str">
        <f>"100002039"</f>
        <v>100002039</v>
      </c>
      <c r="B526" t="str">
        <f>"EHPAD ASIMAT  PIERRE DE CELLE"</f>
        <v>EHPAD ASIMAT  PIERRE DE CELLE</v>
      </c>
      <c r="C526" t="s">
        <v>62</v>
      </c>
    </row>
    <row r="527" spans="1:3" x14ac:dyDescent="0.25">
      <c r="A527" t="str">
        <f>"100002120"</f>
        <v>100002120</v>
      </c>
      <c r="B527" t="str">
        <f>"EHPAD TRICOCHE MAILLARD"</f>
        <v>EHPAD TRICOCHE MAILLARD</v>
      </c>
      <c r="C527" t="s">
        <v>62</v>
      </c>
    </row>
    <row r="528" spans="1:3" x14ac:dyDescent="0.25">
      <c r="A528" t="str">
        <f>"100002138"</f>
        <v>100002138</v>
      </c>
      <c r="B528" t="str">
        <f>"EHPAD PIERRE D'ARCIS"</f>
        <v>EHPAD PIERRE D'ARCIS</v>
      </c>
      <c r="C528" t="s">
        <v>62</v>
      </c>
    </row>
    <row r="529" spans="1:3" x14ac:dyDescent="0.25">
      <c r="A529" t="str">
        <f>"100002146"</f>
        <v>100002146</v>
      </c>
      <c r="B529" t="str">
        <f>"EHPAD CARDINAL DE LOMÉNIE"</f>
        <v>EHPAD CARDINAL DE LOMÉNIE</v>
      </c>
      <c r="C529" t="s">
        <v>62</v>
      </c>
    </row>
    <row r="530" spans="1:3" x14ac:dyDescent="0.25">
      <c r="A530" t="str">
        <f>"100002153"</f>
        <v>100002153</v>
      </c>
      <c r="B530" t="str">
        <f>"EHPAD LE MORTIER D'OR"</f>
        <v>EHPAD LE MORTIER D'OR</v>
      </c>
      <c r="C530" t="s">
        <v>62</v>
      </c>
    </row>
    <row r="531" spans="1:3" x14ac:dyDescent="0.25">
      <c r="A531" t="str">
        <f>"100002161"</f>
        <v>100002161</v>
      </c>
      <c r="B531" t="str">
        <f>"EHPAD LES HAUTS D'ARMANCE"</f>
        <v>EHPAD LES HAUTS D'ARMANCE</v>
      </c>
      <c r="C531" t="s">
        <v>62</v>
      </c>
    </row>
    <row r="532" spans="1:3" x14ac:dyDescent="0.25">
      <c r="A532" t="str">
        <f>"100002179"</f>
        <v>100002179</v>
      </c>
      <c r="B532" t="str">
        <f>"EHPAD RESIDENCE DELATOUR"</f>
        <v>EHPAD RESIDENCE DELATOUR</v>
      </c>
      <c r="C532" t="s">
        <v>62</v>
      </c>
    </row>
    <row r="533" spans="1:3" x14ac:dyDescent="0.25">
      <c r="A533" t="str">
        <f>"100002187"</f>
        <v>100002187</v>
      </c>
      <c r="B533" t="str">
        <f>"EHPAD LE PARC FLEURI"</f>
        <v>EHPAD LE PARC FLEURI</v>
      </c>
      <c r="C533" t="s">
        <v>62</v>
      </c>
    </row>
    <row r="534" spans="1:3" x14ac:dyDescent="0.25">
      <c r="A534" t="str">
        <f>"100002195"</f>
        <v>100002195</v>
      </c>
      <c r="B534" t="str">
        <f>"RESIDENCE ALLEE DES PLATANES"</f>
        <v>RESIDENCE ALLEE DES PLATANES</v>
      </c>
      <c r="C534" t="s">
        <v>62</v>
      </c>
    </row>
    <row r="535" spans="1:3" x14ac:dyDescent="0.25">
      <c r="A535" t="str">
        <f>"100002203"</f>
        <v>100002203</v>
      </c>
      <c r="B535" t="str">
        <f>"EHPAD LES FLOTS DE L'ORVIN"</f>
        <v>EHPAD LES FLOTS DE L'ORVIN</v>
      </c>
      <c r="C535" t="s">
        <v>62</v>
      </c>
    </row>
    <row r="536" spans="1:3" x14ac:dyDescent="0.25">
      <c r="A536" t="str">
        <f>"100002211"</f>
        <v>100002211</v>
      </c>
      <c r="B536" t="str">
        <f>"EHPAD RESIDENCE DE LA NOXE"</f>
        <v>EHPAD RESIDENCE DE LA NOXE</v>
      </c>
      <c r="C536" t="s">
        <v>62</v>
      </c>
    </row>
    <row r="537" spans="1:3" x14ac:dyDescent="0.25">
      <c r="A537" t="str">
        <f>"100003433"</f>
        <v>100003433</v>
      </c>
      <c r="B537" t="str">
        <f>"EHPAD LES GLYCINES"</f>
        <v>EHPAD LES GLYCINES</v>
      </c>
      <c r="C537" t="s">
        <v>62</v>
      </c>
    </row>
    <row r="538" spans="1:3" x14ac:dyDescent="0.25">
      <c r="A538" t="str">
        <f>"100004159"</f>
        <v>100004159</v>
      </c>
      <c r="B538" t="str">
        <f>"EHPAD LE PARC DU CHATEAU"</f>
        <v>EHPAD LE PARC DU CHATEAU</v>
      </c>
      <c r="C538" t="s">
        <v>62</v>
      </c>
    </row>
    <row r="539" spans="1:3" x14ac:dyDescent="0.25">
      <c r="A539" t="str">
        <f>"100004357"</f>
        <v>100004357</v>
      </c>
      <c r="B539" t="str">
        <f>"EHPAD AUGUSTE RENOIR"</f>
        <v>EHPAD AUGUSTE RENOIR</v>
      </c>
      <c r="C539" t="s">
        <v>62</v>
      </c>
    </row>
    <row r="540" spans="1:3" x14ac:dyDescent="0.25">
      <c r="A540" t="str">
        <f>"100005362"</f>
        <v>100005362</v>
      </c>
      <c r="B540" t="str">
        <f>"EHPAD DOMAINE DE NAZARETH - C.H TROYES"</f>
        <v>EHPAD DOMAINE DE NAZARETH - C.H TROYES</v>
      </c>
      <c r="C540" t="s">
        <v>62</v>
      </c>
    </row>
    <row r="541" spans="1:3" x14ac:dyDescent="0.25">
      <c r="A541" t="str">
        <f>"100005909"</f>
        <v>100005909</v>
      </c>
      <c r="B541" t="str">
        <f>"EHPAD RESIDENCE LA DHUY"</f>
        <v>EHPAD RESIDENCE LA DHUY</v>
      </c>
      <c r="C541" t="s">
        <v>62</v>
      </c>
    </row>
    <row r="542" spans="1:3" x14ac:dyDescent="0.25">
      <c r="A542" t="str">
        <f>"100005925"</f>
        <v>100005925</v>
      </c>
      <c r="B542" t="str">
        <f>"EHPAD LE PARC ET FONTARCE"</f>
        <v>EHPAD LE PARC ET FONTARCE</v>
      </c>
      <c r="C542" t="s">
        <v>62</v>
      </c>
    </row>
    <row r="543" spans="1:3" x14ac:dyDescent="0.25">
      <c r="A543" t="str">
        <f>"100005941"</f>
        <v>100005941</v>
      </c>
      <c r="B543" t="str">
        <f>"EHPAD LE CLOS DES  PLATANES"</f>
        <v>EHPAD LE CLOS DES  PLATANES</v>
      </c>
      <c r="C543" t="s">
        <v>62</v>
      </c>
    </row>
    <row r="544" spans="1:3" x14ac:dyDescent="0.25">
      <c r="A544" t="str">
        <f>"100006535"</f>
        <v>100006535</v>
      </c>
      <c r="B544" t="str">
        <f>"EHPAD RÉSIDENCE LA ROSERAIE"</f>
        <v>EHPAD RÉSIDENCE LA ROSERAIE</v>
      </c>
      <c r="C544" t="s">
        <v>62</v>
      </c>
    </row>
    <row r="545" spans="1:3" x14ac:dyDescent="0.25">
      <c r="A545" t="str">
        <f>"100006568"</f>
        <v>100006568</v>
      </c>
      <c r="B545" t="str">
        <f>"EHPAD VILLA DU TERTRE"</f>
        <v>EHPAD VILLA DU TERTRE</v>
      </c>
      <c r="C545" t="s">
        <v>62</v>
      </c>
    </row>
    <row r="546" spans="1:3" x14ac:dyDescent="0.25">
      <c r="A546" t="str">
        <f>"100006691"</f>
        <v>100006691</v>
      </c>
      <c r="B546" t="str">
        <f>"EHPAD LES JARDINS DE ROMILLY"</f>
        <v>EHPAD LES JARDINS DE ROMILLY</v>
      </c>
      <c r="C546" t="s">
        <v>62</v>
      </c>
    </row>
    <row r="547" spans="1:3" x14ac:dyDescent="0.25">
      <c r="A547" t="str">
        <f>"100006774"</f>
        <v>100006774</v>
      </c>
      <c r="B547" t="str">
        <f>"EHPAD KORIAN JARDINS D'HUGO"</f>
        <v>EHPAD KORIAN JARDINS D'HUGO</v>
      </c>
      <c r="C547" t="s">
        <v>62</v>
      </c>
    </row>
    <row r="548" spans="1:3" x14ac:dyDescent="0.25">
      <c r="A548" t="str">
        <f>"100006782"</f>
        <v>100006782</v>
      </c>
      <c r="B548" t="str">
        <f>"EHPAD RÉSIDENCE DE L'EUROPE"</f>
        <v>EHPAD RÉSIDENCE DE L'EUROPE</v>
      </c>
      <c r="C548" t="s">
        <v>62</v>
      </c>
    </row>
    <row r="549" spans="1:3" x14ac:dyDescent="0.25">
      <c r="A549" t="str">
        <f>"100006873"</f>
        <v>100006873</v>
      </c>
      <c r="B549" t="str">
        <f>"EHPAD LOUIS PASTEUR"</f>
        <v>EHPAD LOUIS PASTEUR</v>
      </c>
      <c r="C549" t="s">
        <v>62</v>
      </c>
    </row>
    <row r="550" spans="1:3" x14ac:dyDescent="0.25">
      <c r="A550" t="str">
        <f>"100006881"</f>
        <v>100006881</v>
      </c>
      <c r="B550" t="str">
        <f>"EHPAD LA RESIDENCE DE PINEY"</f>
        <v>EHPAD LA RESIDENCE DE PINEY</v>
      </c>
      <c r="C550" t="s">
        <v>62</v>
      </c>
    </row>
    <row r="551" spans="1:3" x14ac:dyDescent="0.25">
      <c r="A551" t="str">
        <f>"100006907"</f>
        <v>100006907</v>
      </c>
      <c r="B551" t="str">
        <f>"EHPAD STE MARTHE"</f>
        <v>EHPAD STE MARTHE</v>
      </c>
      <c r="C551" t="s">
        <v>62</v>
      </c>
    </row>
    <row r="552" spans="1:3" x14ac:dyDescent="0.25">
      <c r="A552" t="str">
        <f>"100006915"</f>
        <v>100006915</v>
      </c>
      <c r="B552" t="str">
        <f>"EHPAD LES TILLEULS"</f>
        <v>EHPAD LES TILLEULS</v>
      </c>
      <c r="C552" t="s">
        <v>62</v>
      </c>
    </row>
    <row r="553" spans="1:3" x14ac:dyDescent="0.25">
      <c r="A553" t="str">
        <f>"100006923"</f>
        <v>100006923</v>
      </c>
      <c r="B553" t="str">
        <f>"EHPAD JULIEN MONNARD"</f>
        <v>EHPAD JULIEN MONNARD</v>
      </c>
      <c r="C553" t="s">
        <v>62</v>
      </c>
    </row>
    <row r="554" spans="1:3" x14ac:dyDescent="0.25">
      <c r="A554" t="str">
        <f>"100006972"</f>
        <v>100006972</v>
      </c>
      <c r="B554" t="str">
        <f>"EHPAD RÉSIDENCE DE L'ISLE"</f>
        <v>EHPAD RÉSIDENCE DE L'ISLE</v>
      </c>
      <c r="C554" t="s">
        <v>62</v>
      </c>
    </row>
    <row r="555" spans="1:3" x14ac:dyDescent="0.25">
      <c r="A555" t="str">
        <f>"100007558"</f>
        <v>100007558</v>
      </c>
      <c r="B555" t="str">
        <f>"EHPAD LES JARDINS DE CRENEY"</f>
        <v>EHPAD LES JARDINS DE CRENEY</v>
      </c>
      <c r="C555" t="s">
        <v>62</v>
      </c>
    </row>
    <row r="556" spans="1:3" x14ac:dyDescent="0.25">
      <c r="A556" t="str">
        <f>"100007632"</f>
        <v>100007632</v>
      </c>
      <c r="B556" t="str">
        <f>"EHPAD ASIMAT LA GRAND-MAISON"</f>
        <v>EHPAD ASIMAT LA GRAND-MAISON</v>
      </c>
      <c r="C556" t="s">
        <v>62</v>
      </c>
    </row>
    <row r="557" spans="1:3" x14ac:dyDescent="0.25">
      <c r="A557" t="str">
        <f>"100008275"</f>
        <v>100008275</v>
      </c>
      <c r="B557" t="str">
        <f>"EHPAD LES GÉRANIUMS"</f>
        <v>EHPAD LES GÉRANIUMS</v>
      </c>
      <c r="C557" t="s">
        <v>62</v>
      </c>
    </row>
    <row r="558" spans="1:3" x14ac:dyDescent="0.25">
      <c r="A558" t="str">
        <f>"100008325"</f>
        <v>100008325</v>
      </c>
      <c r="B558" t="str">
        <f>"EHPAD KORIAN PASTORIA"</f>
        <v>EHPAD KORIAN PASTORIA</v>
      </c>
      <c r="C558" t="s">
        <v>62</v>
      </c>
    </row>
    <row r="559" spans="1:3" x14ac:dyDescent="0.25">
      <c r="A559" t="str">
        <f>"100008739"</f>
        <v>100008739</v>
      </c>
      <c r="B559" t="str">
        <f>"EHPAD ASIMAT LA SALAMANDRE"</f>
        <v>EHPAD ASIMAT LA SALAMANDRE</v>
      </c>
      <c r="C559" t="s">
        <v>62</v>
      </c>
    </row>
    <row r="560" spans="1:3" x14ac:dyDescent="0.25">
      <c r="A560" t="str">
        <f>"100009018"</f>
        <v>100009018</v>
      </c>
      <c r="B560" t="str">
        <f>"EHPAD RÉSIDENCE COMTE HENRI"</f>
        <v>EHPAD RÉSIDENCE COMTE HENRI</v>
      </c>
      <c r="C560" t="s">
        <v>62</v>
      </c>
    </row>
    <row r="561" spans="1:3" x14ac:dyDescent="0.25">
      <c r="A561" t="str">
        <f>"100009265"</f>
        <v>100009265</v>
      </c>
      <c r="B561" t="str">
        <f>"RESIDENCE LE DOMAINE"</f>
        <v>RESIDENCE LE DOMAINE</v>
      </c>
      <c r="C561" t="s">
        <v>62</v>
      </c>
    </row>
    <row r="562" spans="1:3" x14ac:dyDescent="0.25">
      <c r="A562" t="str">
        <f>"100009406"</f>
        <v>100009406</v>
      </c>
      <c r="B562" t="str">
        <f>"EHPAD SAINTE BERNADETTE"</f>
        <v>EHPAD SAINTE BERNADETTE</v>
      </c>
      <c r="C562" t="s">
        <v>62</v>
      </c>
    </row>
    <row r="563" spans="1:3" x14ac:dyDescent="0.25">
      <c r="A563" t="str">
        <f>"100009422"</f>
        <v>100009422</v>
      </c>
      <c r="B563" t="str">
        <f>"EHPAD ASIMAT LA COLLINE"</f>
        <v>EHPAD ASIMAT LA COLLINE</v>
      </c>
      <c r="C563" t="s">
        <v>62</v>
      </c>
    </row>
    <row r="564" spans="1:3" x14ac:dyDescent="0.25">
      <c r="A564" t="str">
        <f>"110002607"</f>
        <v>110002607</v>
      </c>
      <c r="B564" t="str">
        <f>"EHPAD ANTINEA"</f>
        <v>EHPAD ANTINEA</v>
      </c>
      <c r="C564" t="s">
        <v>77</v>
      </c>
    </row>
    <row r="565" spans="1:3" x14ac:dyDescent="0.25">
      <c r="A565" t="str">
        <f>"110002623"</f>
        <v>110002623</v>
      </c>
      <c r="B565" t="str">
        <f>"EHPAD LES BERGES DU CANAL"</f>
        <v>EHPAD LES BERGES DU CANAL</v>
      </c>
      <c r="C565" t="s">
        <v>77</v>
      </c>
    </row>
    <row r="566" spans="1:3" x14ac:dyDescent="0.25">
      <c r="A566" t="str">
        <f>"110002706"</f>
        <v>110002706</v>
      </c>
      <c r="B566" t="str">
        <f>"EHPAD SAINT VINCENT DE PAUL"</f>
        <v>EHPAD SAINT VINCENT DE PAUL</v>
      </c>
      <c r="C566" t="s">
        <v>77</v>
      </c>
    </row>
    <row r="567" spans="1:3" x14ac:dyDescent="0.25">
      <c r="A567" t="str">
        <f>"110002763"</f>
        <v>110002763</v>
      </c>
      <c r="B567" t="str">
        <f>"EHPAD CARMABLEU"</f>
        <v>EHPAD CARMABLEU</v>
      </c>
      <c r="C567" t="s">
        <v>77</v>
      </c>
    </row>
    <row r="568" spans="1:3" x14ac:dyDescent="0.25">
      <c r="A568" t="str">
        <f>"110002813"</f>
        <v>110002813</v>
      </c>
      <c r="B568" t="str">
        <f>"EHPAD LAETITIA"</f>
        <v>EHPAD LAETITIA</v>
      </c>
      <c r="C568" t="s">
        <v>77</v>
      </c>
    </row>
    <row r="569" spans="1:3" x14ac:dyDescent="0.25">
      <c r="A569" t="str">
        <f>"110003498"</f>
        <v>110003498</v>
      </c>
      <c r="B569" t="str">
        <f>"EHPAD LES FIGUERES"</f>
        <v>EHPAD LES FIGUERES</v>
      </c>
      <c r="C569" t="s">
        <v>77</v>
      </c>
    </row>
    <row r="570" spans="1:3" x14ac:dyDescent="0.25">
      <c r="A570" t="str">
        <f>"110004298"</f>
        <v>110004298</v>
      </c>
      <c r="B570" t="str">
        <f>"EHPAD JULES SEGUELA"</f>
        <v>EHPAD JULES SEGUELA</v>
      </c>
      <c r="C570" t="s">
        <v>77</v>
      </c>
    </row>
    <row r="571" spans="1:3" x14ac:dyDescent="0.25">
      <c r="A571" t="str">
        <f>"110004330"</f>
        <v>110004330</v>
      </c>
      <c r="B571" t="str">
        <f>"EHPAD LA COUSTETE"</f>
        <v>EHPAD LA COUSTETE</v>
      </c>
      <c r="C571" t="s">
        <v>77</v>
      </c>
    </row>
    <row r="572" spans="1:3" x14ac:dyDescent="0.25">
      <c r="A572" t="str">
        <f>"110004488"</f>
        <v>110004488</v>
      </c>
      <c r="B572" t="str">
        <f>"EHPAD KORIAN LES PINS VERTS"</f>
        <v>EHPAD KORIAN LES PINS VERTS</v>
      </c>
      <c r="C572" t="s">
        <v>77</v>
      </c>
    </row>
    <row r="573" spans="1:3" x14ac:dyDescent="0.25">
      <c r="A573" t="str">
        <f>"110004496"</f>
        <v>110004496</v>
      </c>
      <c r="B573" t="str">
        <f>"EHPAD LA BONANCA"</f>
        <v>EHPAD LA BONANCA</v>
      </c>
      <c r="C573" t="s">
        <v>77</v>
      </c>
    </row>
    <row r="574" spans="1:3" x14ac:dyDescent="0.25">
      <c r="A574" t="str">
        <f>"110004595"</f>
        <v>110004595</v>
      </c>
      <c r="B574" t="str">
        <f>"EHPAD LA TOUR"</f>
        <v>EHPAD LA TOUR</v>
      </c>
      <c r="C574" t="s">
        <v>77</v>
      </c>
    </row>
    <row r="575" spans="1:3" x14ac:dyDescent="0.25">
      <c r="A575" t="str">
        <f>"110004967"</f>
        <v>110004967</v>
      </c>
      <c r="B575" t="str">
        <f>"EHPAD LES ROMARINS"</f>
        <v>EHPAD LES ROMARINS</v>
      </c>
      <c r="C575" t="s">
        <v>77</v>
      </c>
    </row>
    <row r="576" spans="1:3" x14ac:dyDescent="0.25">
      <c r="A576" t="str">
        <f>"110005006"</f>
        <v>110005006</v>
      </c>
      <c r="B576" t="str">
        <f>"EHPAD PECH DALCY"</f>
        <v>EHPAD PECH DALCY</v>
      </c>
      <c r="C576" t="s">
        <v>77</v>
      </c>
    </row>
    <row r="577" spans="1:3" x14ac:dyDescent="0.25">
      <c r="A577" t="str">
        <f>"110005238"</f>
        <v>110005238</v>
      </c>
      <c r="B577" t="str">
        <f>"EHPAD VIA MINERVA"</f>
        <v>EHPAD VIA MINERVA</v>
      </c>
      <c r="C577" t="s">
        <v>77</v>
      </c>
    </row>
    <row r="578" spans="1:3" x14ac:dyDescent="0.25">
      <c r="A578" t="str">
        <f>"110005287"</f>
        <v>110005287</v>
      </c>
      <c r="B578" t="str">
        <f>"EHPAD CH FRANCIS VALS"</f>
        <v>EHPAD CH FRANCIS VALS</v>
      </c>
      <c r="C578" t="s">
        <v>77</v>
      </c>
    </row>
    <row r="579" spans="1:3" x14ac:dyDescent="0.25">
      <c r="A579" t="str">
        <f>"110005386"</f>
        <v>110005386</v>
      </c>
      <c r="B579" t="str">
        <f>"EHPAD KORIAN LE CLOS DE L'ORCHIDEE"</f>
        <v>EHPAD KORIAN LE CLOS DE L'ORCHIDEE</v>
      </c>
      <c r="C579" t="s">
        <v>77</v>
      </c>
    </row>
    <row r="580" spans="1:3" x14ac:dyDescent="0.25">
      <c r="A580" t="str">
        <f>"110005451"</f>
        <v>110005451</v>
      </c>
      <c r="B580" t="str">
        <f>"EHPAD VILLA DOMITIA"</f>
        <v>EHPAD VILLA DOMITIA</v>
      </c>
      <c r="C580" t="s">
        <v>77</v>
      </c>
    </row>
    <row r="581" spans="1:3" x14ac:dyDescent="0.25">
      <c r="A581" t="str">
        <f>"110005501"</f>
        <v>110005501</v>
      </c>
      <c r="B581" t="str">
        <f>"EHPAD LA MAISON DES ARBOUSIERS"</f>
        <v>EHPAD LA MAISON DES ARBOUSIERS</v>
      </c>
      <c r="C581" t="s">
        <v>77</v>
      </c>
    </row>
    <row r="582" spans="1:3" x14ac:dyDescent="0.25">
      <c r="A582" t="str">
        <f>"110005527"</f>
        <v>110005527</v>
      </c>
      <c r="B582" t="str">
        <f>"EHPAD RESIDENCE TRAMONTANE"</f>
        <v>EHPAD RESIDENCE TRAMONTANE</v>
      </c>
      <c r="C582" t="s">
        <v>77</v>
      </c>
    </row>
    <row r="583" spans="1:3" x14ac:dyDescent="0.25">
      <c r="A583" t="str">
        <f>"110005576"</f>
        <v>110005576</v>
      </c>
      <c r="B583" t="str">
        <f>"EHPAD LES ROSIERS"</f>
        <v>EHPAD LES ROSIERS</v>
      </c>
      <c r="C583" t="s">
        <v>77</v>
      </c>
    </row>
    <row r="584" spans="1:3" x14ac:dyDescent="0.25">
      <c r="A584" t="str">
        <f>"110005584"</f>
        <v>110005584</v>
      </c>
      <c r="B584" t="str">
        <f>"EHPAD ROBERT BADOC"</f>
        <v>EHPAD ROBERT BADOC</v>
      </c>
      <c r="C584" t="s">
        <v>77</v>
      </c>
    </row>
    <row r="585" spans="1:3" x14ac:dyDescent="0.25">
      <c r="A585" t="str">
        <f>"110005782"</f>
        <v>110005782</v>
      </c>
      <c r="B585" t="str">
        <f>"EHPAD CHENIER CH LIMOUX QUILLAN"</f>
        <v>EHPAD CHENIER CH LIMOUX QUILLAN</v>
      </c>
      <c r="C585" t="s">
        <v>77</v>
      </c>
    </row>
    <row r="586" spans="1:3" x14ac:dyDescent="0.25">
      <c r="A586" t="str">
        <f>"110005824"</f>
        <v>110005824</v>
      </c>
      <c r="B586" t="str">
        <f>"EHPAD L'OUSTAL DE TALAIRAN"</f>
        <v>EHPAD L'OUSTAL DE TALAIRAN</v>
      </c>
      <c r="C586" t="s">
        <v>77</v>
      </c>
    </row>
    <row r="587" spans="1:3" x14ac:dyDescent="0.25">
      <c r="A587" t="str">
        <f>"110005980"</f>
        <v>110005980</v>
      </c>
      <c r="B587" t="str">
        <f>"EHPAD LE CLOS DES VIGNES"</f>
        <v>EHPAD LE CLOS DES VIGNES</v>
      </c>
      <c r="C587" t="s">
        <v>77</v>
      </c>
    </row>
    <row r="588" spans="1:3" x14ac:dyDescent="0.25">
      <c r="A588" t="str">
        <f>"110007119"</f>
        <v>110007119</v>
      </c>
      <c r="B588" t="str">
        <f>"EHPAD DOMINIQUE RIBES"</f>
        <v>EHPAD DOMINIQUE RIBES</v>
      </c>
      <c r="C588" t="s">
        <v>77</v>
      </c>
    </row>
    <row r="589" spans="1:3" x14ac:dyDescent="0.25">
      <c r="A589" t="str">
        <f>"110780103"</f>
        <v>110780103</v>
      </c>
      <c r="B589" t="str">
        <f>"EHPAD CH LEZIGNAN CORBIERES"</f>
        <v>EHPAD CH LEZIGNAN CORBIERES</v>
      </c>
      <c r="C589" t="s">
        <v>77</v>
      </c>
    </row>
    <row r="590" spans="1:3" x14ac:dyDescent="0.25">
      <c r="A590" t="str">
        <f>"110780715"</f>
        <v>110780715</v>
      </c>
      <c r="B590" t="str">
        <f>"EHPAD LE GARNAGUES"</f>
        <v>EHPAD LE GARNAGUES</v>
      </c>
      <c r="C590" t="s">
        <v>77</v>
      </c>
    </row>
    <row r="591" spans="1:3" x14ac:dyDescent="0.25">
      <c r="A591" t="str">
        <f>"110780723"</f>
        <v>110780723</v>
      </c>
      <c r="B591" t="str">
        <f>"EHPAD LES HAUTS DE BON ACCUEIL"</f>
        <v>EHPAD LES HAUTS DE BON ACCUEIL</v>
      </c>
      <c r="C591" t="s">
        <v>77</v>
      </c>
    </row>
    <row r="592" spans="1:3" x14ac:dyDescent="0.25">
      <c r="A592" t="str">
        <f>"110780731"</f>
        <v>110780731</v>
      </c>
      <c r="B592" t="str">
        <f>"EHPAD FONDATION GAUDISSARD"</f>
        <v>EHPAD FONDATION GAUDISSARD</v>
      </c>
      <c r="C592" t="s">
        <v>77</v>
      </c>
    </row>
    <row r="593" spans="1:3" x14ac:dyDescent="0.25">
      <c r="A593" t="str">
        <f>"110780749"</f>
        <v>110780749</v>
      </c>
      <c r="B593" t="str">
        <f>"EHPAD JEAN LOUBES"</f>
        <v>EHPAD JEAN LOUBES</v>
      </c>
      <c r="C593" t="s">
        <v>77</v>
      </c>
    </row>
    <row r="594" spans="1:3" x14ac:dyDescent="0.25">
      <c r="A594" t="str">
        <f>"110780756"</f>
        <v>110780756</v>
      </c>
      <c r="B594" t="str">
        <f>"RESIDENCE DE LA MALEPERE"</f>
        <v>RESIDENCE DE LA MALEPERE</v>
      </c>
      <c r="C594" t="s">
        <v>77</v>
      </c>
    </row>
    <row r="595" spans="1:3" x14ac:dyDescent="0.25">
      <c r="A595" t="str">
        <f>"110780764"</f>
        <v>110780764</v>
      </c>
      <c r="B595" t="str">
        <f>"EHPAD MADELEINE DES GARETS"</f>
        <v>EHPAD MADELEINE DES GARETS</v>
      </c>
      <c r="C595" t="s">
        <v>77</v>
      </c>
    </row>
    <row r="596" spans="1:3" x14ac:dyDescent="0.25">
      <c r="A596" t="str">
        <f>"110781226"</f>
        <v>110781226</v>
      </c>
      <c r="B596" t="str">
        <f>"EHPAD IENA CH CARCASSONNE"</f>
        <v>EHPAD IENA CH CARCASSONNE</v>
      </c>
      <c r="C596" t="s">
        <v>77</v>
      </c>
    </row>
    <row r="597" spans="1:3" x14ac:dyDescent="0.25">
      <c r="A597" t="str">
        <f>"110782844"</f>
        <v>110782844</v>
      </c>
      <c r="B597" t="str">
        <f>"EHPAD BETHANIE ACCUEIL"</f>
        <v>EHPAD BETHANIE ACCUEIL</v>
      </c>
      <c r="C597" t="s">
        <v>77</v>
      </c>
    </row>
    <row r="598" spans="1:3" x14ac:dyDescent="0.25">
      <c r="A598" t="str">
        <f>"110782851"</f>
        <v>110782851</v>
      </c>
      <c r="B598" t="str">
        <f>"EHPAD SAINT VINCENT"</f>
        <v>EHPAD SAINT VINCENT</v>
      </c>
      <c r="C598" t="s">
        <v>77</v>
      </c>
    </row>
    <row r="599" spans="1:3" x14ac:dyDescent="0.25">
      <c r="A599" t="str">
        <f>"110782869"</f>
        <v>110782869</v>
      </c>
      <c r="B599" t="str">
        <f>"EHPAD LE PLA DU MOULIN"</f>
        <v>EHPAD LE PLA DU MOULIN</v>
      </c>
      <c r="C599" t="s">
        <v>77</v>
      </c>
    </row>
    <row r="600" spans="1:3" x14ac:dyDescent="0.25">
      <c r="A600" t="str">
        <f>"110782885"</f>
        <v>110782885</v>
      </c>
      <c r="B600" t="str">
        <f>"EHPAD LE MARRONNIER"</f>
        <v>EHPAD LE MARRONNIER</v>
      </c>
      <c r="C600" t="s">
        <v>77</v>
      </c>
    </row>
    <row r="601" spans="1:3" x14ac:dyDescent="0.25">
      <c r="A601" t="str">
        <f>"110782927"</f>
        <v>110782927</v>
      </c>
      <c r="B601" t="str">
        <f>"EHPAD RESIDENCE LES MIMOSAS"</f>
        <v>EHPAD RESIDENCE LES MIMOSAS</v>
      </c>
      <c r="C601" t="s">
        <v>77</v>
      </c>
    </row>
    <row r="602" spans="1:3" x14ac:dyDescent="0.25">
      <c r="A602" t="str">
        <f>"110782950"</f>
        <v>110782950</v>
      </c>
      <c r="B602" t="str">
        <f>"EHPAD KORIAN LE BASTION"</f>
        <v>EHPAD KORIAN LE BASTION</v>
      </c>
      <c r="C602" t="s">
        <v>77</v>
      </c>
    </row>
    <row r="603" spans="1:3" x14ac:dyDescent="0.25">
      <c r="A603" t="str">
        <f>"110783057"</f>
        <v>110783057</v>
      </c>
      <c r="B603" t="str">
        <f>"EHPAD L'OUSTAL"</f>
        <v>EHPAD L'OUSTAL</v>
      </c>
      <c r="C603" t="s">
        <v>77</v>
      </c>
    </row>
    <row r="604" spans="1:3" x14ac:dyDescent="0.25">
      <c r="A604" t="str">
        <f>"110783271"</f>
        <v>110783271</v>
      </c>
      <c r="B604" t="str">
        <f>"EHPAD LOS AINATS"</f>
        <v>EHPAD LOS AINATS</v>
      </c>
      <c r="C604" t="s">
        <v>77</v>
      </c>
    </row>
    <row r="605" spans="1:3" x14ac:dyDescent="0.25">
      <c r="A605" t="str">
        <f>"110783289"</f>
        <v>110783289</v>
      </c>
      <c r="B605" t="str">
        <f>"EHPAD COSTES 1"</f>
        <v>EHPAD COSTES 1</v>
      </c>
      <c r="C605" t="s">
        <v>77</v>
      </c>
    </row>
    <row r="606" spans="1:3" x14ac:dyDescent="0.25">
      <c r="A606" t="str">
        <f>"110786530"</f>
        <v>110786530</v>
      </c>
      <c r="B606" t="str">
        <f>"EHPAD LE CASTELOU"</f>
        <v>EHPAD LE CASTELOU</v>
      </c>
      <c r="C606" t="s">
        <v>77</v>
      </c>
    </row>
    <row r="607" spans="1:3" x14ac:dyDescent="0.25">
      <c r="A607" t="str">
        <f>"110787314"</f>
        <v>110787314</v>
      </c>
      <c r="B607" t="str">
        <f>"EHPAD CH JEAN-PIERRE CASSABEL"</f>
        <v>EHPAD CH JEAN-PIERRE CASSABEL</v>
      </c>
      <c r="C607" t="s">
        <v>77</v>
      </c>
    </row>
    <row r="608" spans="1:3" x14ac:dyDescent="0.25">
      <c r="A608" t="str">
        <f>"110787348"</f>
        <v>110787348</v>
      </c>
      <c r="B608" t="str">
        <f>"EHPAD MADELEINE BRES"</f>
        <v>EHPAD MADELEINE BRES</v>
      </c>
      <c r="C608" t="s">
        <v>77</v>
      </c>
    </row>
    <row r="609" spans="1:3" x14ac:dyDescent="0.25">
      <c r="A609" t="str">
        <f>"110787538"</f>
        <v>110787538</v>
      </c>
      <c r="B609" t="str">
        <f>"EHPAD LAS FOUNTETOS"</f>
        <v>EHPAD LAS FOUNTETOS</v>
      </c>
      <c r="C609" t="s">
        <v>77</v>
      </c>
    </row>
    <row r="610" spans="1:3" x14ac:dyDescent="0.25">
      <c r="A610" t="str">
        <f>"110787579"</f>
        <v>110787579</v>
      </c>
      <c r="B610" t="str">
        <f>"EHPAD LES ESTAMOUNETS"</f>
        <v>EHPAD LES ESTAMOUNETS</v>
      </c>
      <c r="C610" t="s">
        <v>77</v>
      </c>
    </row>
    <row r="611" spans="1:3" x14ac:dyDescent="0.25">
      <c r="A611" t="str">
        <f>"110787777"</f>
        <v>110787777</v>
      </c>
      <c r="B611" t="str">
        <f>"EHPAD LO PORTANEL"</f>
        <v>EHPAD LO PORTANEL</v>
      </c>
      <c r="C611" t="s">
        <v>77</v>
      </c>
    </row>
    <row r="612" spans="1:3" x14ac:dyDescent="0.25">
      <c r="A612" t="str">
        <f>"110788817"</f>
        <v>110788817</v>
      </c>
      <c r="B612" t="str">
        <f>"EHPAD LES RIVES D'ODE"</f>
        <v>EHPAD LES RIVES D'ODE</v>
      </c>
      <c r="C612" t="s">
        <v>77</v>
      </c>
    </row>
    <row r="613" spans="1:3" x14ac:dyDescent="0.25">
      <c r="A613" t="str">
        <f>"110789443"</f>
        <v>110789443</v>
      </c>
      <c r="B613" t="str">
        <f>"EHPAD LA VALLEE DU LAUQUET"</f>
        <v>EHPAD LA VALLEE DU LAUQUET</v>
      </c>
      <c r="C613" t="s">
        <v>77</v>
      </c>
    </row>
    <row r="614" spans="1:3" x14ac:dyDescent="0.25">
      <c r="A614" t="str">
        <f>"110789450"</f>
        <v>110789450</v>
      </c>
      <c r="B614" t="str">
        <f>"EHPAD LA ROQUE"</f>
        <v>EHPAD LA ROQUE</v>
      </c>
      <c r="C614" t="s">
        <v>77</v>
      </c>
    </row>
    <row r="615" spans="1:3" x14ac:dyDescent="0.25">
      <c r="A615" t="str">
        <f>"110789484"</f>
        <v>110789484</v>
      </c>
      <c r="B615" t="str">
        <f>"EHPAD RESIDENCE DE LA MONTAGNE"</f>
        <v>EHPAD RESIDENCE DE LA MONTAGNE</v>
      </c>
      <c r="C615" t="s">
        <v>77</v>
      </c>
    </row>
    <row r="616" spans="1:3" x14ac:dyDescent="0.25">
      <c r="A616" t="str">
        <f>"110789526"</f>
        <v>110789526</v>
      </c>
      <c r="B616" t="str">
        <f>"EHPAD LE SOLEIL LEVANT"</f>
        <v>EHPAD LE SOLEIL LEVANT</v>
      </c>
      <c r="C616" t="s">
        <v>77</v>
      </c>
    </row>
    <row r="617" spans="1:3" x14ac:dyDescent="0.25">
      <c r="A617" t="str">
        <f>"110790011"</f>
        <v>110790011</v>
      </c>
      <c r="B617" t="str">
        <f>"EHPAD KORIAN FRONTENAC"</f>
        <v>EHPAD KORIAN FRONTENAC</v>
      </c>
      <c r="C617" t="s">
        <v>77</v>
      </c>
    </row>
    <row r="618" spans="1:3" x14ac:dyDescent="0.25">
      <c r="A618" t="str">
        <f>"110791332"</f>
        <v>110791332</v>
      </c>
      <c r="B618" t="str">
        <f>"EHPAD AL NIU DEL ROC"</f>
        <v>EHPAD AL NIU DEL ROC</v>
      </c>
      <c r="C618" t="s">
        <v>77</v>
      </c>
    </row>
    <row r="619" spans="1:3" x14ac:dyDescent="0.25">
      <c r="A619" t="str">
        <f>"110791597"</f>
        <v>110791597</v>
      </c>
      <c r="B619" t="str">
        <f>"EHPAD CHATEAU LA BOURGADE"</f>
        <v>EHPAD CHATEAU LA BOURGADE</v>
      </c>
      <c r="C619" t="s">
        <v>77</v>
      </c>
    </row>
    <row r="620" spans="1:3" x14ac:dyDescent="0.25">
      <c r="A620" t="str">
        <f>"120004726"</f>
        <v>120004726</v>
      </c>
      <c r="B620" t="str">
        <f>"EHPAD JULIE CHAUCHARD"</f>
        <v>EHPAD JULIE CHAUCHARD</v>
      </c>
      <c r="C620" t="s">
        <v>77</v>
      </c>
    </row>
    <row r="621" spans="1:3" x14ac:dyDescent="0.25">
      <c r="A621" t="str">
        <f>"120005509"</f>
        <v>120005509</v>
      </c>
      <c r="B621" t="str">
        <f>"EHPAD 'LES CHEVEUX D'ANGE'"</f>
        <v>EHPAD 'LES CHEVEUX D'ANGE'</v>
      </c>
      <c r="C621" t="s">
        <v>77</v>
      </c>
    </row>
    <row r="622" spans="1:3" x14ac:dyDescent="0.25">
      <c r="A622" t="str">
        <f>"120005699"</f>
        <v>120005699</v>
      </c>
      <c r="B622" t="str">
        <f>"EHPAD 'LA ROSSIGNOLE'"</f>
        <v>EHPAD 'LA ROSSIGNOLE'</v>
      </c>
      <c r="C622" t="s">
        <v>77</v>
      </c>
    </row>
    <row r="623" spans="1:3" x14ac:dyDescent="0.25">
      <c r="A623" t="str">
        <f>"120005939"</f>
        <v>120005939</v>
      </c>
      <c r="B623" t="str">
        <f>"EHPAD TERRASSES DES CAUSSES SAINT ANNE"</f>
        <v>EHPAD TERRASSES DES CAUSSES SAINT ANNE</v>
      </c>
      <c r="C623" t="s">
        <v>77</v>
      </c>
    </row>
    <row r="624" spans="1:3" x14ac:dyDescent="0.25">
      <c r="A624" t="str">
        <f>"120006069"</f>
        <v>120006069</v>
      </c>
      <c r="B624" t="str">
        <f>"EHPAD STE MARIE"</f>
        <v>EHPAD STE MARIE</v>
      </c>
      <c r="C624" t="s">
        <v>77</v>
      </c>
    </row>
    <row r="625" spans="1:3" x14ac:dyDescent="0.25">
      <c r="A625" t="str">
        <f>"120006564"</f>
        <v>120006564</v>
      </c>
      <c r="B625" t="str">
        <f>"EHPAD RESIDENCE LE SHERPA"</f>
        <v>EHPAD RESIDENCE LE SHERPA</v>
      </c>
      <c r="C625" t="s">
        <v>77</v>
      </c>
    </row>
    <row r="626" spans="1:3" x14ac:dyDescent="0.25">
      <c r="A626" t="str">
        <f>"120008792"</f>
        <v>120008792</v>
      </c>
      <c r="B626" t="str">
        <f>"EHPAD TERRASSES DES CAUSSES ST COME"</f>
        <v>EHPAD TERRASSES DES CAUSSES ST COME</v>
      </c>
      <c r="C626" t="s">
        <v>77</v>
      </c>
    </row>
    <row r="627" spans="1:3" x14ac:dyDescent="0.25">
      <c r="A627" t="str">
        <f>"120780408"</f>
        <v>120780408</v>
      </c>
      <c r="B627" t="str">
        <f>"EHPAD D'AUBIN"</f>
        <v>EHPAD D'AUBIN</v>
      </c>
      <c r="C627" t="s">
        <v>77</v>
      </c>
    </row>
    <row r="628" spans="1:3" x14ac:dyDescent="0.25">
      <c r="A628" t="str">
        <f>"120780432"</f>
        <v>120780432</v>
      </c>
      <c r="B628" t="str">
        <f>"EHPAD RESIDENCE DU PAYS CAPDENACOIS"</f>
        <v>EHPAD RESIDENCE DU PAYS CAPDENACOIS</v>
      </c>
      <c r="C628" t="s">
        <v>77</v>
      </c>
    </row>
    <row r="629" spans="1:3" x14ac:dyDescent="0.25">
      <c r="A629" t="str">
        <f>"120780457"</f>
        <v>120780457</v>
      </c>
      <c r="B629" t="str">
        <f>"EHPAD DU CHI DU VALLON"</f>
        <v>EHPAD DU CHI DU VALLON</v>
      </c>
      <c r="C629" t="s">
        <v>77</v>
      </c>
    </row>
    <row r="630" spans="1:3" x14ac:dyDescent="0.25">
      <c r="A630" t="str">
        <f>"120780465"</f>
        <v>120780465</v>
      </c>
      <c r="B630" t="str">
        <f>"EHPAD PARC DE LA CORETTE"</f>
        <v>EHPAD PARC DE LA CORETTE</v>
      </c>
      <c r="C630" t="s">
        <v>77</v>
      </c>
    </row>
    <row r="631" spans="1:3" x14ac:dyDescent="0.25">
      <c r="A631" t="str">
        <f>"120780473"</f>
        <v>120780473</v>
      </c>
      <c r="B631" t="str">
        <f>"EHPAD LES GENETS D'OR DU SEGALA"</f>
        <v>EHPAD LES GENETS D'OR DU SEGALA</v>
      </c>
      <c r="C631" t="s">
        <v>77</v>
      </c>
    </row>
    <row r="632" spans="1:3" x14ac:dyDescent="0.25">
      <c r="A632" t="str">
        <f>"120780499"</f>
        <v>120780499</v>
      </c>
      <c r="B632" t="str">
        <f>"EHPAD 'LA ROUSSILHE'"</f>
        <v>EHPAD 'LA ROUSSILHE'</v>
      </c>
      <c r="C632" t="s">
        <v>77</v>
      </c>
    </row>
    <row r="633" spans="1:3" x14ac:dyDescent="0.25">
      <c r="A633" t="str">
        <f>"120780515"</f>
        <v>120780515</v>
      </c>
      <c r="B633" t="str">
        <f>"EHPAD STE THERESE"</f>
        <v>EHPAD STE THERESE</v>
      </c>
      <c r="C633" t="s">
        <v>77</v>
      </c>
    </row>
    <row r="634" spans="1:3" x14ac:dyDescent="0.25">
      <c r="A634" t="str">
        <f>"120780531"</f>
        <v>120780531</v>
      </c>
      <c r="B634" t="str">
        <f>"EHPAD CLOS SAINT FRANÇOIS"</f>
        <v>EHPAD CLOS SAINT FRANÇOIS</v>
      </c>
      <c r="C634" t="s">
        <v>77</v>
      </c>
    </row>
    <row r="635" spans="1:3" x14ac:dyDescent="0.25">
      <c r="A635" t="str">
        <f>"120781075"</f>
        <v>120781075</v>
      </c>
      <c r="B635" t="str">
        <f>"EHPAD RESIDENCE DES DEUX VALLEES"</f>
        <v>EHPAD RESIDENCE DES DEUX VALLEES</v>
      </c>
      <c r="C635" t="s">
        <v>77</v>
      </c>
    </row>
    <row r="636" spans="1:3" x14ac:dyDescent="0.25">
      <c r="A636" t="str">
        <f>"120782123"</f>
        <v>120782123</v>
      </c>
      <c r="B636" t="str">
        <f>"EHPAD RESIDENCE ABBE ROMIEU"</f>
        <v>EHPAD RESIDENCE ABBE ROMIEU</v>
      </c>
      <c r="C636" t="s">
        <v>77</v>
      </c>
    </row>
    <row r="637" spans="1:3" x14ac:dyDescent="0.25">
      <c r="A637" t="str">
        <f>"120782131"</f>
        <v>120782131</v>
      </c>
      <c r="B637" t="str">
        <f>"EHPAD ST LAURENT"</f>
        <v>EHPAD ST LAURENT</v>
      </c>
      <c r="C637" t="s">
        <v>77</v>
      </c>
    </row>
    <row r="638" spans="1:3" x14ac:dyDescent="0.25">
      <c r="A638" t="str">
        <f>"120782271"</f>
        <v>120782271</v>
      </c>
      <c r="B638" t="str">
        <f>"EHPAD COMBAREL"</f>
        <v>EHPAD COMBAREL</v>
      </c>
      <c r="C638" t="s">
        <v>77</v>
      </c>
    </row>
    <row r="639" spans="1:3" x14ac:dyDescent="0.25">
      <c r="A639" t="str">
        <f>"120782313"</f>
        <v>120782313</v>
      </c>
      <c r="B639" t="str">
        <f>"EHPAD CH DECAZEVILLE"</f>
        <v>EHPAD CH DECAZEVILLE</v>
      </c>
      <c r="C639" t="s">
        <v>77</v>
      </c>
    </row>
    <row r="640" spans="1:3" x14ac:dyDescent="0.25">
      <c r="A640" t="str">
        <f>"120782321"</f>
        <v>120782321</v>
      </c>
      <c r="B640" t="str">
        <f>"EHPAD DENIS AFFRE"</f>
        <v>EHPAD DENIS AFFRE</v>
      </c>
      <c r="C640" t="s">
        <v>77</v>
      </c>
    </row>
    <row r="641" spans="1:3" x14ac:dyDescent="0.25">
      <c r="A641" t="str">
        <f>"120782339"</f>
        <v>120782339</v>
      </c>
      <c r="B641" t="str">
        <f>"EHPAD 'PARC  DE JAUNAC'"</f>
        <v>EHPAD 'PARC  DE JAUNAC'</v>
      </c>
      <c r="C641" t="s">
        <v>77</v>
      </c>
    </row>
    <row r="642" spans="1:3" x14ac:dyDescent="0.25">
      <c r="A642" t="str">
        <f>"120782347"</f>
        <v>120782347</v>
      </c>
      <c r="B642" t="str">
        <f>"EHPAD SAINT CYRICE"</f>
        <v>EHPAD SAINT CYRICE</v>
      </c>
      <c r="C642" t="s">
        <v>77</v>
      </c>
    </row>
    <row r="643" spans="1:3" x14ac:dyDescent="0.25">
      <c r="A643" t="str">
        <f>"120782354"</f>
        <v>120782354</v>
      </c>
      <c r="B643" t="str">
        <f>"EHPAD LA RESIDENCE DU LAC"</f>
        <v>EHPAD LA RESIDENCE DU LAC</v>
      </c>
      <c r="C643" t="s">
        <v>77</v>
      </c>
    </row>
    <row r="644" spans="1:3" x14ac:dyDescent="0.25">
      <c r="A644" t="str">
        <f>"120782362"</f>
        <v>120782362</v>
      </c>
      <c r="B644" t="str">
        <f>"EHPAD 'BON ACCUEIL'."</f>
        <v>EHPAD 'BON ACCUEIL'.</v>
      </c>
      <c r="C644" t="s">
        <v>77</v>
      </c>
    </row>
    <row r="645" spans="1:3" x14ac:dyDescent="0.25">
      <c r="A645" t="str">
        <f>"120782388"</f>
        <v>120782388</v>
      </c>
      <c r="B645" t="str">
        <f>"EHPAD SAINT JEAN"</f>
        <v>EHPAD SAINT JEAN</v>
      </c>
      <c r="C645" t="s">
        <v>77</v>
      </c>
    </row>
    <row r="646" spans="1:3" x14ac:dyDescent="0.25">
      <c r="A646" t="str">
        <f>"120782396"</f>
        <v>120782396</v>
      </c>
      <c r="B646" t="str">
        <f>"EHPAD LES ROSIERS"</f>
        <v>EHPAD LES ROSIERS</v>
      </c>
      <c r="C646" t="s">
        <v>77</v>
      </c>
    </row>
    <row r="647" spans="1:3" x14ac:dyDescent="0.25">
      <c r="A647" t="str">
        <f>"120782404"</f>
        <v>120782404</v>
      </c>
      <c r="B647" t="str">
        <f>"EHPAD 'LES CASELLES'"</f>
        <v>EHPAD 'LES CASELLES'</v>
      </c>
      <c r="C647" t="s">
        <v>77</v>
      </c>
    </row>
    <row r="648" spans="1:3" x14ac:dyDescent="0.25">
      <c r="A648" t="str">
        <f>"120782412"</f>
        <v>120782412</v>
      </c>
      <c r="B648" t="str">
        <f>"EHPAD REPOS ET SANTE"</f>
        <v>EHPAD REPOS ET SANTE</v>
      </c>
      <c r="C648" t="s">
        <v>77</v>
      </c>
    </row>
    <row r="649" spans="1:3" x14ac:dyDescent="0.25">
      <c r="A649" t="str">
        <f>"120782420"</f>
        <v>120782420</v>
      </c>
      <c r="B649" t="str">
        <f>"EHPAD SAINTE MARIE"</f>
        <v>EHPAD SAINTE MARIE</v>
      </c>
      <c r="C649" t="s">
        <v>77</v>
      </c>
    </row>
    <row r="650" spans="1:3" x14ac:dyDescent="0.25">
      <c r="A650" t="str">
        <f>"120782438"</f>
        <v>120782438</v>
      </c>
      <c r="B650" t="str">
        <f>"EHPAD LES GALETS D'OLT"</f>
        <v>EHPAD LES GALETS D'OLT</v>
      </c>
      <c r="C650" t="s">
        <v>77</v>
      </c>
    </row>
    <row r="651" spans="1:3" x14ac:dyDescent="0.25">
      <c r="A651" t="str">
        <f>"120782453"</f>
        <v>120782453</v>
      </c>
      <c r="B651" t="str">
        <f>"EHPAD 'VALLEE DU DOURDOU'"</f>
        <v>EHPAD 'VALLEE DU DOURDOU'</v>
      </c>
      <c r="C651" t="s">
        <v>77</v>
      </c>
    </row>
    <row r="652" spans="1:3" x14ac:dyDescent="0.25">
      <c r="A652" t="str">
        <f>"120782461"</f>
        <v>120782461</v>
      </c>
      <c r="B652" t="str">
        <f>"EHPAD BEAU SOLEIL"</f>
        <v>EHPAD BEAU SOLEIL</v>
      </c>
      <c r="C652" t="s">
        <v>77</v>
      </c>
    </row>
    <row r="653" spans="1:3" x14ac:dyDescent="0.25">
      <c r="A653" t="str">
        <f>"120782479"</f>
        <v>120782479</v>
      </c>
      <c r="B653" t="str">
        <f>"EHPAD MARIE VERNIERES"</f>
        <v>EHPAD MARIE VERNIERES</v>
      </c>
      <c r="C653" t="s">
        <v>77</v>
      </c>
    </row>
    <row r="654" spans="1:3" x14ac:dyDescent="0.25">
      <c r="A654" t="str">
        <f>"120782487"</f>
        <v>120782487</v>
      </c>
      <c r="B654" t="str">
        <f>"EHPAD ' LA CROIX BLEUE'"</f>
        <v>EHPAD ' LA CROIX BLEUE'</v>
      </c>
      <c r="C654" t="s">
        <v>77</v>
      </c>
    </row>
    <row r="655" spans="1:3" x14ac:dyDescent="0.25">
      <c r="A655" t="str">
        <f>"120782503"</f>
        <v>120782503</v>
      </c>
      <c r="B655" t="str">
        <f>"EHPAD LA MISERICORDE"</f>
        <v>EHPAD LA MISERICORDE</v>
      </c>
      <c r="C655" t="s">
        <v>77</v>
      </c>
    </row>
    <row r="656" spans="1:3" x14ac:dyDescent="0.25">
      <c r="A656" t="str">
        <f>"120782511"</f>
        <v>120782511</v>
      </c>
      <c r="B656" t="str">
        <f>"EHPAD LE VAL D'OLT"</f>
        <v>EHPAD LE VAL D'OLT</v>
      </c>
      <c r="C656" t="s">
        <v>77</v>
      </c>
    </row>
    <row r="657" spans="1:3" x14ac:dyDescent="0.25">
      <c r="A657" t="str">
        <f>"120782529"</f>
        <v>120782529</v>
      </c>
      <c r="B657" t="str">
        <f>"EHPAD DE L'ARGENCE"</f>
        <v>EHPAD DE L'ARGENCE</v>
      </c>
      <c r="C657" t="s">
        <v>77</v>
      </c>
    </row>
    <row r="658" spans="1:3" x14ac:dyDescent="0.25">
      <c r="A658" t="str">
        <f>"120782537"</f>
        <v>120782537</v>
      </c>
      <c r="B658" t="str">
        <f>"EHPAD ST JOSEPH"</f>
        <v>EHPAD ST JOSEPH</v>
      </c>
      <c r="C658" t="s">
        <v>77</v>
      </c>
    </row>
    <row r="659" spans="1:3" x14ac:dyDescent="0.25">
      <c r="A659" t="str">
        <f>"120782545"</f>
        <v>120782545</v>
      </c>
      <c r="B659" t="str">
        <f>"EHPAD RESIDENCE DU PAYS CAPDENACOIS"</f>
        <v>EHPAD RESIDENCE DU PAYS CAPDENACOIS</v>
      </c>
      <c r="C659" t="s">
        <v>77</v>
      </c>
    </row>
    <row r="660" spans="1:3" x14ac:dyDescent="0.25">
      <c r="A660" t="str">
        <f>"120782552"</f>
        <v>120782552</v>
      </c>
      <c r="B660" t="str">
        <f>"EHPAD 'BELLEVUE'"</f>
        <v>EHPAD 'BELLEVUE'</v>
      </c>
      <c r="C660" t="s">
        <v>77</v>
      </c>
    </row>
    <row r="661" spans="1:3" x14ac:dyDescent="0.25">
      <c r="A661" t="str">
        <f>"120782560"</f>
        <v>120782560</v>
      </c>
      <c r="B661" t="str">
        <f>"EHPAD LES GENETS D'OR DU SEGALA"</f>
        <v>EHPAD LES GENETS D'OR DU SEGALA</v>
      </c>
      <c r="C661" t="s">
        <v>77</v>
      </c>
    </row>
    <row r="662" spans="1:3" x14ac:dyDescent="0.25">
      <c r="A662" t="str">
        <f>"120782578"</f>
        <v>120782578</v>
      </c>
      <c r="B662" t="str">
        <f>"EHPAD LA FONTANELLE"</f>
        <v>EHPAD LA FONTANELLE</v>
      </c>
      <c r="C662" t="s">
        <v>77</v>
      </c>
    </row>
    <row r="663" spans="1:3" x14ac:dyDescent="0.25">
      <c r="A663" t="str">
        <f>"120782586"</f>
        <v>120782586</v>
      </c>
      <c r="B663" t="str">
        <f>"EHPAD  ADRIENNE LUGANS"</f>
        <v>EHPAD  ADRIENNE LUGANS</v>
      </c>
      <c r="C663" t="s">
        <v>77</v>
      </c>
    </row>
    <row r="664" spans="1:3" x14ac:dyDescent="0.25">
      <c r="A664" t="str">
        <f>"120783253"</f>
        <v>120783253</v>
      </c>
      <c r="B664" t="str">
        <f>"EHPAD SAINT AMANS"</f>
        <v>EHPAD SAINT AMANS</v>
      </c>
      <c r="C664" t="s">
        <v>77</v>
      </c>
    </row>
    <row r="665" spans="1:3" x14ac:dyDescent="0.25">
      <c r="A665" t="str">
        <f>"120783287"</f>
        <v>120783287</v>
      </c>
      <c r="B665" t="str">
        <f>"EHPAD STE MARTHE"</f>
        <v>EHPAD STE MARTHE</v>
      </c>
      <c r="C665" t="s">
        <v>77</v>
      </c>
    </row>
    <row r="666" spans="1:3" x14ac:dyDescent="0.25">
      <c r="A666" t="str">
        <f>"120783303"</f>
        <v>120783303</v>
      </c>
      <c r="B666" t="str">
        <f>"EHPAD CH VILLEFRANCHE SITE CHARTREUSE"</f>
        <v>EHPAD CH VILLEFRANCHE SITE CHARTREUSE</v>
      </c>
      <c r="C666" t="s">
        <v>77</v>
      </c>
    </row>
    <row r="667" spans="1:3" x14ac:dyDescent="0.25">
      <c r="A667" t="str">
        <f>"120784095"</f>
        <v>120784095</v>
      </c>
      <c r="B667" t="str">
        <f>"EHPAD CH ST GENIEZ D'OLT"</f>
        <v>EHPAD CH ST GENIEZ D'OLT</v>
      </c>
      <c r="C667" t="s">
        <v>77</v>
      </c>
    </row>
    <row r="668" spans="1:3" x14ac:dyDescent="0.25">
      <c r="A668" t="str">
        <f>"120784566"</f>
        <v>120784566</v>
      </c>
      <c r="B668" t="str">
        <f>"EHPAD 'LE PAGINET'"</f>
        <v>EHPAD 'LE PAGINET'</v>
      </c>
      <c r="C668" t="s">
        <v>77</v>
      </c>
    </row>
    <row r="669" spans="1:3" x14ac:dyDescent="0.25">
      <c r="A669" t="str">
        <f>"120784673"</f>
        <v>120784673</v>
      </c>
      <c r="B669" t="str">
        <f>"EHPAD TERRASSES DES CAUSSES AYROLLE"</f>
        <v>EHPAD TERRASSES DES CAUSSES AYROLLE</v>
      </c>
      <c r="C669" t="s">
        <v>77</v>
      </c>
    </row>
    <row r="670" spans="1:3" x14ac:dyDescent="0.25">
      <c r="A670" t="str">
        <f>"120785191"</f>
        <v>120785191</v>
      </c>
      <c r="B670" t="str">
        <f>"EHPAD CH VILLEFRANCHE SITE RULHE"</f>
        <v>EHPAD CH VILLEFRANCHE SITE RULHE</v>
      </c>
      <c r="C670" t="s">
        <v>77</v>
      </c>
    </row>
    <row r="671" spans="1:3" x14ac:dyDescent="0.25">
      <c r="A671" t="str">
        <f>"120785217"</f>
        <v>120785217</v>
      </c>
      <c r="B671" t="str">
        <f>"EHPAD CH ST AFFRIQUE"</f>
        <v>EHPAD CH ST AFFRIQUE</v>
      </c>
      <c r="C671" t="s">
        <v>77</v>
      </c>
    </row>
    <row r="672" spans="1:3" x14ac:dyDescent="0.25">
      <c r="A672" t="str">
        <f>"120785233"</f>
        <v>120785233</v>
      </c>
      <c r="B672" t="str">
        <f>"EHPAD CHI ESPALION ST LAURENT D'OLT"</f>
        <v>EHPAD CHI ESPALION ST LAURENT D'OLT</v>
      </c>
      <c r="C672" t="s">
        <v>77</v>
      </c>
    </row>
    <row r="673" spans="1:3" x14ac:dyDescent="0.25">
      <c r="A673" t="str">
        <f>"120785258"</f>
        <v>120785258</v>
      </c>
      <c r="B673" t="str">
        <f>"EHPAD CH SALLES LA SOURCE"</f>
        <v>EHPAD CH SALLES LA SOURCE</v>
      </c>
      <c r="C673" t="s">
        <v>77</v>
      </c>
    </row>
    <row r="674" spans="1:3" x14ac:dyDescent="0.25">
      <c r="A674" t="str">
        <f>"120785290"</f>
        <v>120785290</v>
      </c>
      <c r="B674" t="str">
        <f>"EHPAD SHERPA"</f>
        <v>EHPAD SHERPA</v>
      </c>
      <c r="C674" t="s">
        <v>77</v>
      </c>
    </row>
    <row r="675" spans="1:3" x14ac:dyDescent="0.25">
      <c r="A675" t="str">
        <f>"120785373"</f>
        <v>120785373</v>
      </c>
      <c r="B675" t="str">
        <f>"EHPAD J.B DELFAU"</f>
        <v>EHPAD J.B DELFAU</v>
      </c>
      <c r="C675" t="s">
        <v>77</v>
      </c>
    </row>
    <row r="676" spans="1:3" x14ac:dyDescent="0.25">
      <c r="A676" t="str">
        <f>"120785522"</f>
        <v>120785522</v>
      </c>
      <c r="B676" t="str">
        <f>"EHPAD 'LES CHARMETTES'"</f>
        <v>EHPAD 'LES CHARMETTES'</v>
      </c>
      <c r="C676" t="s">
        <v>77</v>
      </c>
    </row>
    <row r="677" spans="1:3" x14ac:dyDescent="0.25">
      <c r="A677" t="str">
        <f>"120785530"</f>
        <v>120785530</v>
      </c>
      <c r="B677" t="str">
        <f>"EHPAD SAINTE CLAIRE"</f>
        <v>EHPAD SAINTE CLAIRE</v>
      </c>
      <c r="C677" t="s">
        <v>77</v>
      </c>
    </row>
    <row r="678" spans="1:3" x14ac:dyDescent="0.25">
      <c r="A678" t="str">
        <f>"120786140"</f>
        <v>120786140</v>
      </c>
      <c r="B678" t="str">
        <f>"EHPAD RESIDENCE JEAN XXIII"</f>
        <v>EHPAD RESIDENCE JEAN XXIII</v>
      </c>
      <c r="C678" t="s">
        <v>77</v>
      </c>
    </row>
    <row r="679" spans="1:3" x14ac:dyDescent="0.25">
      <c r="A679" t="str">
        <f>"120786652"</f>
        <v>120786652</v>
      </c>
      <c r="B679" t="str">
        <f>"EHPAD LE RELAYS"</f>
        <v>EHPAD LE RELAYS</v>
      </c>
      <c r="C679" t="s">
        <v>77</v>
      </c>
    </row>
    <row r="680" spans="1:3" x14ac:dyDescent="0.25">
      <c r="A680" t="str">
        <f>"120786843"</f>
        <v>120786843</v>
      </c>
      <c r="B680" t="str">
        <f>"EHPAD PAUL MOUYSSET"</f>
        <v>EHPAD PAUL MOUYSSET</v>
      </c>
      <c r="C680" t="s">
        <v>77</v>
      </c>
    </row>
    <row r="681" spans="1:3" x14ac:dyDescent="0.25">
      <c r="A681" t="str">
        <f>"120786868"</f>
        <v>120786868</v>
      </c>
      <c r="B681" t="str">
        <f>"EHPAD GLORIANDE"</f>
        <v>EHPAD GLORIANDE</v>
      </c>
      <c r="C681" t="s">
        <v>77</v>
      </c>
    </row>
    <row r="682" spans="1:3" x14ac:dyDescent="0.25">
      <c r="A682" t="str">
        <f>"120786892"</f>
        <v>120786892</v>
      </c>
      <c r="B682" t="str">
        <f>"EHPAD LES CLARINES"</f>
        <v>EHPAD LES CLARINES</v>
      </c>
      <c r="C682" t="s">
        <v>77</v>
      </c>
    </row>
    <row r="683" spans="1:3" x14ac:dyDescent="0.25">
      <c r="A683" t="str">
        <f>"120786967"</f>
        <v>120786967</v>
      </c>
      <c r="B683" t="str">
        <f>"EHPAD LES PEYRIERES CH RODEZ"</f>
        <v>EHPAD LES PEYRIERES CH RODEZ</v>
      </c>
      <c r="C683" t="s">
        <v>77</v>
      </c>
    </row>
    <row r="684" spans="1:3" x14ac:dyDescent="0.25">
      <c r="A684" t="str">
        <f>"120787395"</f>
        <v>120787395</v>
      </c>
      <c r="B684" t="str">
        <f>"EHPAD 'RESIDENCE LA MONTANIE'"</f>
        <v>EHPAD 'RESIDENCE LA MONTANIE'</v>
      </c>
      <c r="C684" t="s">
        <v>77</v>
      </c>
    </row>
    <row r="685" spans="1:3" x14ac:dyDescent="0.25">
      <c r="A685" t="str">
        <f>"120787676"</f>
        <v>120787676</v>
      </c>
      <c r="B685" t="str">
        <f>"EHPAD 'LE VAL FLEURI'"</f>
        <v>EHPAD 'LE VAL FLEURI'</v>
      </c>
      <c r="C685" t="s">
        <v>77</v>
      </c>
    </row>
    <row r="686" spans="1:3" x14ac:dyDescent="0.25">
      <c r="A686" t="str">
        <f>"120787924"</f>
        <v>120787924</v>
      </c>
      <c r="B686" t="str">
        <f>"EHPAD 'L'OASIS'"</f>
        <v>EHPAD 'L'OASIS'</v>
      </c>
      <c r="C686" t="s">
        <v>77</v>
      </c>
    </row>
    <row r="687" spans="1:3" x14ac:dyDescent="0.25">
      <c r="A687" t="str">
        <f>"120788005"</f>
        <v>120788005</v>
      </c>
      <c r="B687" t="str">
        <f>"EHPAD SAINTE ANNE"</f>
        <v>EHPAD SAINTE ANNE</v>
      </c>
      <c r="C687" t="s">
        <v>77</v>
      </c>
    </row>
    <row r="688" spans="1:3" x14ac:dyDescent="0.25">
      <c r="A688" t="str">
        <f>"120788146"</f>
        <v>120788146</v>
      </c>
      <c r="B688" t="str">
        <f>"EHPAD MARIE IMMACULEE"</f>
        <v>EHPAD MARIE IMMACULEE</v>
      </c>
      <c r="C688" t="s">
        <v>77</v>
      </c>
    </row>
    <row r="689" spans="1:3" x14ac:dyDescent="0.25">
      <c r="A689" t="str">
        <f>"120788179"</f>
        <v>120788179</v>
      </c>
      <c r="B689" t="str">
        <f>"EHPAD SAINT-DOMINIQUE"</f>
        <v>EHPAD SAINT-DOMINIQUE</v>
      </c>
      <c r="C689" t="s">
        <v>77</v>
      </c>
    </row>
    <row r="690" spans="1:3" x14ac:dyDescent="0.25">
      <c r="A690" t="str">
        <f>"130008329"</f>
        <v>130008329</v>
      </c>
      <c r="B690" t="str">
        <f>"EHPAD RESIDENCE LES LAVANDINS"</f>
        <v>EHPAD RESIDENCE LES LAVANDINS</v>
      </c>
      <c r="C690" t="s">
        <v>76</v>
      </c>
    </row>
    <row r="691" spans="1:3" x14ac:dyDescent="0.25">
      <c r="A691" t="str">
        <f>"130008428"</f>
        <v>130008428</v>
      </c>
      <c r="B691" t="str">
        <f>"EHPAD LES JARDINS D'ARTEMIS"</f>
        <v>EHPAD LES JARDINS D'ARTEMIS</v>
      </c>
      <c r="C691" t="s">
        <v>76</v>
      </c>
    </row>
    <row r="692" spans="1:3" x14ac:dyDescent="0.25">
      <c r="A692" t="str">
        <f>"130008568"</f>
        <v>130008568</v>
      </c>
      <c r="B692" t="str">
        <f>"EHPAD RESIDENCE MEISSEL"</f>
        <v>EHPAD RESIDENCE MEISSEL</v>
      </c>
      <c r="C692" t="s">
        <v>76</v>
      </c>
    </row>
    <row r="693" spans="1:3" x14ac:dyDescent="0.25">
      <c r="A693" t="str">
        <f>"130008618"</f>
        <v>130008618</v>
      </c>
      <c r="B693" t="str">
        <f>"EHPAD LES OLIVIERS"</f>
        <v>EHPAD LES OLIVIERS</v>
      </c>
      <c r="C693" t="s">
        <v>76</v>
      </c>
    </row>
    <row r="694" spans="1:3" x14ac:dyDescent="0.25">
      <c r="A694" t="str">
        <f>"130008733"</f>
        <v>130008733</v>
      </c>
      <c r="B694" t="str">
        <f>"EHPAD PUBLIC LOU CIGALOU"</f>
        <v>EHPAD PUBLIC LOU CIGALOU</v>
      </c>
      <c r="C694" t="s">
        <v>76</v>
      </c>
    </row>
    <row r="695" spans="1:3" x14ac:dyDescent="0.25">
      <c r="A695" t="str">
        <f>"130008949"</f>
        <v>130008949</v>
      </c>
      <c r="B695" t="str">
        <f>"EHPAD LE DOMAINE DE L'OLIVIER"</f>
        <v>EHPAD LE DOMAINE DE L'OLIVIER</v>
      </c>
      <c r="C695" t="s">
        <v>76</v>
      </c>
    </row>
    <row r="696" spans="1:3" x14ac:dyDescent="0.25">
      <c r="A696" t="str">
        <f>"130009269"</f>
        <v>130009269</v>
      </c>
      <c r="B696" t="str">
        <f>"EHPAD LES OPALINES ROUSSET"</f>
        <v>EHPAD LES OPALINES ROUSSET</v>
      </c>
      <c r="C696" t="s">
        <v>76</v>
      </c>
    </row>
    <row r="697" spans="1:3" x14ac:dyDescent="0.25">
      <c r="A697" t="str">
        <f>"130009319"</f>
        <v>130009319</v>
      </c>
      <c r="B697" t="str">
        <f>"EHPAD LA PRESQU'ILE"</f>
        <v>EHPAD LA PRESQU'ILE</v>
      </c>
      <c r="C697" t="s">
        <v>76</v>
      </c>
    </row>
    <row r="698" spans="1:3" x14ac:dyDescent="0.25">
      <c r="A698" t="str">
        <f>"130009418"</f>
        <v>130009418</v>
      </c>
      <c r="B698" t="str">
        <f>"EHPAD LES JARDINS D'ATHENA"</f>
        <v>EHPAD LES JARDINS D'ATHENA</v>
      </c>
      <c r="C698" t="s">
        <v>76</v>
      </c>
    </row>
    <row r="699" spans="1:3" x14ac:dyDescent="0.25">
      <c r="A699" t="str">
        <f>"130009509"</f>
        <v>130009509</v>
      </c>
      <c r="B699" t="str">
        <f>"EHPAD VAL SOLEIL"</f>
        <v>EHPAD VAL SOLEIL</v>
      </c>
      <c r="C699" t="s">
        <v>76</v>
      </c>
    </row>
    <row r="700" spans="1:3" x14ac:dyDescent="0.25">
      <c r="A700" t="str">
        <f>"130009608"</f>
        <v>130009608</v>
      </c>
      <c r="B700" t="str">
        <f>"EHPAD KORIAN MAS DES AINES"</f>
        <v>EHPAD KORIAN MAS DES AINES</v>
      </c>
      <c r="C700" t="s">
        <v>76</v>
      </c>
    </row>
    <row r="701" spans="1:3" x14ac:dyDescent="0.25">
      <c r="A701" t="str">
        <f>"130009749"</f>
        <v>130009749</v>
      </c>
      <c r="B701" t="str">
        <f>"EHPAD LES JARDINS DU MAZET"</f>
        <v>EHPAD LES JARDINS DU MAZET</v>
      </c>
      <c r="C701" t="s">
        <v>76</v>
      </c>
    </row>
    <row r="702" spans="1:3" x14ac:dyDescent="0.25">
      <c r="A702" t="str">
        <f>"130009798"</f>
        <v>130009798</v>
      </c>
      <c r="B702" t="str">
        <f>"EHPAD KORIAN LE BAOU"</f>
        <v>EHPAD KORIAN LE BAOU</v>
      </c>
      <c r="C702" t="s">
        <v>76</v>
      </c>
    </row>
    <row r="703" spans="1:3" x14ac:dyDescent="0.25">
      <c r="A703" t="str">
        <f>"130009988"</f>
        <v>130009988</v>
      </c>
      <c r="B703" t="str">
        <f>"EHPAD RESIDENCE MARSEILLANE"</f>
        <v>EHPAD RESIDENCE MARSEILLANE</v>
      </c>
      <c r="C703" t="s">
        <v>76</v>
      </c>
    </row>
    <row r="704" spans="1:3" x14ac:dyDescent="0.25">
      <c r="A704" t="str">
        <f>"130010069"</f>
        <v>130010069</v>
      </c>
      <c r="B704" t="str">
        <f>"EHPAD RESIDENCE LES BAUX DU ROY"</f>
        <v>EHPAD RESIDENCE LES BAUX DU ROY</v>
      </c>
      <c r="C704" t="s">
        <v>76</v>
      </c>
    </row>
    <row r="705" spans="1:3" x14ac:dyDescent="0.25">
      <c r="A705" t="str">
        <f>"130010218"</f>
        <v>130010218</v>
      </c>
      <c r="B705" t="str">
        <f>"EHPAD KORIAN LES PARENTS"</f>
        <v>EHPAD KORIAN LES PARENTS</v>
      </c>
      <c r="C705" t="s">
        <v>76</v>
      </c>
    </row>
    <row r="706" spans="1:3" x14ac:dyDescent="0.25">
      <c r="A706" t="str">
        <f>"130010838"</f>
        <v>130010838</v>
      </c>
      <c r="B706" t="str">
        <f>"RESIDENCE EPIDAURE"</f>
        <v>RESIDENCE EPIDAURE</v>
      </c>
      <c r="C706" t="s">
        <v>76</v>
      </c>
    </row>
    <row r="707" spans="1:3" x14ac:dyDescent="0.25">
      <c r="A707" t="str">
        <f>"130011018"</f>
        <v>130011018</v>
      </c>
      <c r="B707" t="str">
        <f>"EHPAD LES AMANDIERS"</f>
        <v>EHPAD LES AMANDIERS</v>
      </c>
      <c r="C707" t="s">
        <v>76</v>
      </c>
    </row>
    <row r="708" spans="1:3" x14ac:dyDescent="0.25">
      <c r="A708" t="str">
        <f>"130011679"</f>
        <v>130011679</v>
      </c>
      <c r="B708" t="str">
        <f>"EHPAD DOMAINE DE LA SOURCE"</f>
        <v>EHPAD DOMAINE DE LA SOURCE</v>
      </c>
      <c r="C708" t="s">
        <v>76</v>
      </c>
    </row>
    <row r="709" spans="1:3" x14ac:dyDescent="0.25">
      <c r="A709" t="str">
        <f>"130014178"</f>
        <v>130014178</v>
      </c>
      <c r="B709" t="str">
        <f>"EHPAD RESIDENCE MAZARGUES"</f>
        <v>EHPAD RESIDENCE MAZARGUES</v>
      </c>
      <c r="C709" t="s">
        <v>76</v>
      </c>
    </row>
    <row r="710" spans="1:3" x14ac:dyDescent="0.25">
      <c r="A710" t="str">
        <f>"130014368"</f>
        <v>130014368</v>
      </c>
      <c r="B710" t="str">
        <f>"EHPAD KALLISTE"</f>
        <v>EHPAD KALLISTE</v>
      </c>
      <c r="C710" t="s">
        <v>76</v>
      </c>
    </row>
    <row r="711" spans="1:3" x14ac:dyDescent="0.25">
      <c r="A711" t="str">
        <f>"130017908"</f>
        <v>130017908</v>
      </c>
      <c r="B711" t="str">
        <f>"EHPAD LES PATIOS DE ST JEAN"</f>
        <v>EHPAD LES PATIOS DE ST JEAN</v>
      </c>
      <c r="C711" t="s">
        <v>76</v>
      </c>
    </row>
    <row r="712" spans="1:3" x14ac:dyDescent="0.25">
      <c r="A712" t="str">
        <f>"130017999"</f>
        <v>130017999</v>
      </c>
      <c r="B712" t="str">
        <f>"EHPAD TIERS TEMPS RES DU PALAIS"</f>
        <v>EHPAD TIERS TEMPS RES DU PALAIS</v>
      </c>
      <c r="C712" t="s">
        <v>76</v>
      </c>
    </row>
    <row r="713" spans="1:3" x14ac:dyDescent="0.25">
      <c r="A713" t="str">
        <f>"130018088"</f>
        <v>130018088</v>
      </c>
      <c r="B713" t="str">
        <f>"EHPAD KORIAN LA RIMANDIERE"</f>
        <v>EHPAD KORIAN LA RIMANDIERE</v>
      </c>
      <c r="C713" t="s">
        <v>76</v>
      </c>
    </row>
    <row r="714" spans="1:3" x14ac:dyDescent="0.25">
      <c r="A714" t="str">
        <f>"130019128"</f>
        <v>130019128</v>
      </c>
      <c r="B714" t="str">
        <f>"EHPAD RESIDENCE L'ARBOIS"</f>
        <v>EHPAD RESIDENCE L'ARBOIS</v>
      </c>
      <c r="C714" t="s">
        <v>76</v>
      </c>
    </row>
    <row r="715" spans="1:3" x14ac:dyDescent="0.25">
      <c r="A715" t="str">
        <f>"130021389"</f>
        <v>130021389</v>
      </c>
      <c r="B715" t="str">
        <f>"EHPAD HENRI BELLON"</f>
        <v>EHPAD HENRI BELLON</v>
      </c>
      <c r="C715" t="s">
        <v>76</v>
      </c>
    </row>
    <row r="716" spans="1:3" x14ac:dyDescent="0.25">
      <c r="A716" t="str">
        <f>"130022759"</f>
        <v>130022759</v>
      </c>
      <c r="B716" t="str">
        <f>"EHPAD LES TERRASSES DES OLIVIERS"</f>
        <v>EHPAD LES TERRASSES DES OLIVIERS</v>
      </c>
      <c r="C716" t="s">
        <v>76</v>
      </c>
    </row>
    <row r="717" spans="1:3" x14ac:dyDescent="0.25">
      <c r="A717" t="str">
        <f>"130023369"</f>
        <v>130023369</v>
      </c>
      <c r="B717" t="str">
        <f>"EHPAD HORIZON BLEU"</f>
        <v>EHPAD HORIZON BLEU</v>
      </c>
      <c r="C717" t="s">
        <v>76</v>
      </c>
    </row>
    <row r="718" spans="1:3" x14ac:dyDescent="0.25">
      <c r="A718" t="str">
        <f>"130023468"</f>
        <v>130023468</v>
      </c>
      <c r="B718" t="str">
        <f>"EHPAD LES JARDINS D'ENEE"</f>
        <v>EHPAD LES JARDINS D'ENEE</v>
      </c>
      <c r="C718" t="s">
        <v>76</v>
      </c>
    </row>
    <row r="719" spans="1:3" x14ac:dyDescent="0.25">
      <c r="A719" t="str">
        <f>"130023559"</f>
        <v>130023559</v>
      </c>
      <c r="B719" t="str">
        <f>"EHPAD RESIDENCE NOTRE DAME"</f>
        <v>EHPAD RESIDENCE NOTRE DAME</v>
      </c>
      <c r="C719" t="s">
        <v>76</v>
      </c>
    </row>
    <row r="720" spans="1:3" x14ac:dyDescent="0.25">
      <c r="A720" t="str">
        <f>"130023658"</f>
        <v>130023658</v>
      </c>
      <c r="B720" t="str">
        <f>"EHPAD RESIDENCE ORPEA LA RENAISSANCE"</f>
        <v>EHPAD RESIDENCE ORPEA LA RENAISSANCE</v>
      </c>
      <c r="C720" t="s">
        <v>76</v>
      </c>
    </row>
    <row r="721" spans="1:3" x14ac:dyDescent="0.25">
      <c r="A721" t="str">
        <f>"130026198"</f>
        <v>130026198</v>
      </c>
      <c r="B721" t="str">
        <f>"EHPAD RESIDENCE RIVOLI"</f>
        <v>EHPAD RESIDENCE RIVOLI</v>
      </c>
      <c r="C721" t="s">
        <v>76</v>
      </c>
    </row>
    <row r="722" spans="1:3" x14ac:dyDescent="0.25">
      <c r="A722" t="str">
        <f>"130026669"</f>
        <v>130026669</v>
      </c>
      <c r="B722" t="str">
        <f>"EHPAD L'AMANDIERE"</f>
        <v>EHPAD L'AMANDIERE</v>
      </c>
      <c r="C722" t="s">
        <v>76</v>
      </c>
    </row>
    <row r="723" spans="1:3" x14ac:dyDescent="0.25">
      <c r="A723" t="str">
        <f>"130027089"</f>
        <v>130027089</v>
      </c>
      <c r="B723" t="str">
        <f>"EHPAD LES TOURNESOLS"</f>
        <v>EHPAD LES TOURNESOLS</v>
      </c>
      <c r="C723" t="s">
        <v>76</v>
      </c>
    </row>
    <row r="724" spans="1:3" x14ac:dyDescent="0.25">
      <c r="A724" t="str">
        <f>"130027188"</f>
        <v>130027188</v>
      </c>
      <c r="B724" t="str">
        <f>"EHPAD LE HAMEAU DES ACCATES"</f>
        <v>EHPAD LE HAMEAU DES ACCATES</v>
      </c>
      <c r="C724" t="s">
        <v>76</v>
      </c>
    </row>
    <row r="725" spans="1:3" x14ac:dyDescent="0.25">
      <c r="A725" t="str">
        <f>"130027378"</f>
        <v>130027378</v>
      </c>
      <c r="B725" t="str">
        <f>"EHPAD LA FILOSETTE"</f>
        <v>EHPAD LA FILOSETTE</v>
      </c>
      <c r="C725" t="s">
        <v>76</v>
      </c>
    </row>
    <row r="726" spans="1:3" x14ac:dyDescent="0.25">
      <c r="A726" t="str">
        <f>"130027899"</f>
        <v>130027899</v>
      </c>
      <c r="B726" t="str">
        <f>"EHPAD RESIDENCE L'ESCALETTE"</f>
        <v>EHPAD RESIDENCE L'ESCALETTE</v>
      </c>
      <c r="C726" t="s">
        <v>76</v>
      </c>
    </row>
    <row r="727" spans="1:3" x14ac:dyDescent="0.25">
      <c r="A727" t="str">
        <f>"130028988"</f>
        <v>130028988</v>
      </c>
      <c r="B727" t="str">
        <f>"EHPAD LES JARDINS DE LA CRAU"</f>
        <v>EHPAD LES JARDINS DE LA CRAU</v>
      </c>
      <c r="C727" t="s">
        <v>76</v>
      </c>
    </row>
    <row r="728" spans="1:3" x14ac:dyDescent="0.25">
      <c r="A728" t="str">
        <f>"130029929"</f>
        <v>130029929</v>
      </c>
      <c r="B728" t="str">
        <f>"EHPAD RESIDENCE LONGCHAMP"</f>
        <v>EHPAD RESIDENCE LONGCHAMP</v>
      </c>
      <c r="C728" t="s">
        <v>76</v>
      </c>
    </row>
    <row r="729" spans="1:3" x14ac:dyDescent="0.25">
      <c r="A729" t="str">
        <f>"130030208"</f>
        <v>130030208</v>
      </c>
      <c r="B729" t="str">
        <f>"EHPAD LES PEUPLIERS"</f>
        <v>EHPAD LES PEUPLIERS</v>
      </c>
      <c r="C729" t="s">
        <v>76</v>
      </c>
    </row>
    <row r="730" spans="1:3" x14ac:dyDescent="0.25">
      <c r="A730" t="str">
        <f>"130030968"</f>
        <v>130030968</v>
      </c>
      <c r="B730" t="str">
        <f>"EHPAD L'OUSTALET"</f>
        <v>EHPAD L'OUSTALET</v>
      </c>
      <c r="C730" t="s">
        <v>76</v>
      </c>
    </row>
    <row r="731" spans="1:3" x14ac:dyDescent="0.25">
      <c r="A731" t="str">
        <f>"130032519"</f>
        <v>130032519</v>
      </c>
      <c r="B731" t="str">
        <f>"EHPAD AMARYLLIS"</f>
        <v>EHPAD AMARYLLIS</v>
      </c>
      <c r="C731" t="s">
        <v>76</v>
      </c>
    </row>
    <row r="732" spans="1:3" x14ac:dyDescent="0.25">
      <c r="A732" t="str">
        <f>"130032659"</f>
        <v>130032659</v>
      </c>
      <c r="B732" t="str">
        <f>"EHPAD RESIDENCE LA CASCADE"</f>
        <v>EHPAD RESIDENCE LA CASCADE</v>
      </c>
      <c r="C732" t="s">
        <v>76</v>
      </c>
    </row>
    <row r="733" spans="1:3" x14ac:dyDescent="0.25">
      <c r="A733" t="str">
        <f>"130032709"</f>
        <v>130032709</v>
      </c>
      <c r="B733" t="str">
        <f>"EHPAD RESIDENCE FONTCLAIR"</f>
        <v>EHPAD RESIDENCE FONTCLAIR</v>
      </c>
      <c r="C733" t="s">
        <v>76</v>
      </c>
    </row>
    <row r="734" spans="1:3" x14ac:dyDescent="0.25">
      <c r="A734" t="str">
        <f>"130032899"</f>
        <v>130032899</v>
      </c>
      <c r="B734" t="str">
        <f>"EHPAD LE GARLABAN"</f>
        <v>EHPAD LE GARLABAN</v>
      </c>
      <c r="C734" t="s">
        <v>76</v>
      </c>
    </row>
    <row r="735" spans="1:3" x14ac:dyDescent="0.25">
      <c r="A735" t="str">
        <f>"130033129"</f>
        <v>130033129</v>
      </c>
      <c r="B735" t="str">
        <f>"EHPAD LA MAISON DES COLLINES"</f>
        <v>EHPAD LA MAISON DES COLLINES</v>
      </c>
      <c r="C735" t="s">
        <v>76</v>
      </c>
    </row>
    <row r="736" spans="1:3" x14ac:dyDescent="0.25">
      <c r="A736" t="str">
        <f>"130033178"</f>
        <v>130033178</v>
      </c>
      <c r="B736" t="str">
        <f>"EHPAD DU CH EDMOND GARCIN D'AUBAGNE"</f>
        <v>EHPAD DU CH EDMOND GARCIN D'AUBAGNE</v>
      </c>
      <c r="C736" t="s">
        <v>76</v>
      </c>
    </row>
    <row r="737" spans="1:3" x14ac:dyDescent="0.25">
      <c r="A737" t="str">
        <f>"130033228"</f>
        <v>130033228</v>
      </c>
      <c r="B737" t="str">
        <f>"EHPAD LES RAYETTES DU CH DE MARTIGUES"</f>
        <v>EHPAD LES RAYETTES DU CH DE MARTIGUES</v>
      </c>
      <c r="C737" t="s">
        <v>76</v>
      </c>
    </row>
    <row r="738" spans="1:3" x14ac:dyDescent="0.25">
      <c r="A738" t="str">
        <f>"130033269"</f>
        <v>130033269</v>
      </c>
      <c r="B738" t="str">
        <f>"EHPAD DUQUESNE SITE AIX"</f>
        <v>EHPAD DUQUESNE SITE AIX</v>
      </c>
      <c r="C738" t="s">
        <v>76</v>
      </c>
    </row>
    <row r="739" spans="1:3" x14ac:dyDescent="0.25">
      <c r="A739" t="str">
        <f>"130033319"</f>
        <v>130033319</v>
      </c>
      <c r="B739" t="str">
        <f>"EHPAD CENTRE GERONTO. VAL DE REGNY"</f>
        <v>EHPAD CENTRE GERONTO. VAL DE REGNY</v>
      </c>
      <c r="C739" t="s">
        <v>76</v>
      </c>
    </row>
    <row r="740" spans="1:3" x14ac:dyDescent="0.25">
      <c r="A740" t="str">
        <f>"130033418"</f>
        <v>130033418</v>
      </c>
      <c r="B740" t="str">
        <f>"EHPAD SOLEIL DE PROVENCE"</f>
        <v>EHPAD SOLEIL DE PROVENCE</v>
      </c>
      <c r="C740" t="s">
        <v>76</v>
      </c>
    </row>
    <row r="741" spans="1:3" x14ac:dyDescent="0.25">
      <c r="A741" t="str">
        <f>"130033459"</f>
        <v>130033459</v>
      </c>
      <c r="B741" t="str">
        <f>"EHPAD LES JARDINS DE MIRABEAU"</f>
        <v>EHPAD LES JARDINS DE MIRABEAU</v>
      </c>
      <c r="C741" t="s">
        <v>76</v>
      </c>
    </row>
    <row r="742" spans="1:3" x14ac:dyDescent="0.25">
      <c r="A742" t="str">
        <f>"130034655"</f>
        <v>130034655</v>
      </c>
      <c r="B742" t="str">
        <f>"EHPAD RESIDENCE ROGNAC"</f>
        <v>EHPAD RESIDENCE ROGNAC</v>
      </c>
      <c r="C742" t="s">
        <v>76</v>
      </c>
    </row>
    <row r="743" spans="1:3" x14ac:dyDescent="0.25">
      <c r="A743" t="str">
        <f>"130034788"</f>
        <v>130034788</v>
      </c>
      <c r="B743" t="str">
        <f>"EHPAD LES MAISONS DE MARIE"</f>
        <v>EHPAD LES MAISONS DE MARIE</v>
      </c>
      <c r="C743" t="s">
        <v>76</v>
      </c>
    </row>
    <row r="744" spans="1:3" x14ac:dyDescent="0.25">
      <c r="A744" t="str">
        <f>"130037112"</f>
        <v>130037112</v>
      </c>
      <c r="B744" t="str">
        <f>"EHPAD LA BASTIDE DU FIGUIER"</f>
        <v>EHPAD LA BASTIDE DU FIGUIER</v>
      </c>
      <c r="C744" t="s">
        <v>76</v>
      </c>
    </row>
    <row r="745" spans="1:3" x14ac:dyDescent="0.25">
      <c r="A745" t="str">
        <f>"130038029"</f>
        <v>130038029</v>
      </c>
      <c r="B745" t="str">
        <f>"EHPAD KORIAN L'ESCALE DU BAOU"</f>
        <v>EHPAD KORIAN L'ESCALE DU BAOU</v>
      </c>
      <c r="C745" t="s">
        <v>76</v>
      </c>
    </row>
    <row r="746" spans="1:3" x14ac:dyDescent="0.25">
      <c r="A746" t="str">
        <f>"130038078"</f>
        <v>130038078</v>
      </c>
      <c r="B746" t="str">
        <f>"EHPAD KORIAN L'AGORA"</f>
        <v>EHPAD KORIAN L'AGORA</v>
      </c>
      <c r="C746" t="s">
        <v>76</v>
      </c>
    </row>
    <row r="747" spans="1:3" x14ac:dyDescent="0.25">
      <c r="A747" t="str">
        <f>"130038649"</f>
        <v>130038649</v>
      </c>
      <c r="B747" t="str">
        <f>"EHPAD LES MAISONNEES DE MARTIGUES"</f>
        <v>EHPAD LES MAISONNEES DE MARTIGUES</v>
      </c>
      <c r="C747" t="s">
        <v>76</v>
      </c>
    </row>
    <row r="748" spans="1:3" x14ac:dyDescent="0.25">
      <c r="A748" t="str">
        <f>"130038698"</f>
        <v>130038698</v>
      </c>
      <c r="B748" t="str">
        <f>"EHPAD RESIDENCE ELEONORE EMERA"</f>
        <v>EHPAD RESIDENCE ELEONORE EMERA</v>
      </c>
      <c r="C748" t="s">
        <v>76</v>
      </c>
    </row>
    <row r="749" spans="1:3" x14ac:dyDescent="0.25">
      <c r="A749" t="str">
        <f>"130038839"</f>
        <v>130038839</v>
      </c>
      <c r="B749" t="str">
        <f>"EHPAD RESIDENCE LES MELODIES"</f>
        <v>EHPAD RESIDENCE LES MELODIES</v>
      </c>
      <c r="C749" t="s">
        <v>76</v>
      </c>
    </row>
    <row r="750" spans="1:3" x14ac:dyDescent="0.25">
      <c r="A750" t="str">
        <f>"130039019"</f>
        <v>130039019</v>
      </c>
      <c r="B750" t="str">
        <f>"EHPAD LES TERRASSES DE SAUSSET"</f>
        <v>EHPAD LES TERRASSES DE SAUSSET</v>
      </c>
      <c r="C750" t="s">
        <v>76</v>
      </c>
    </row>
    <row r="751" spans="1:3" x14ac:dyDescent="0.25">
      <c r="A751" t="str">
        <f>"130039290"</f>
        <v>130039290</v>
      </c>
      <c r="B751" t="str">
        <f>"EHPAD RESIDENCE LES ALPILLES"</f>
        <v>EHPAD RESIDENCE LES ALPILLES</v>
      </c>
      <c r="C751" t="s">
        <v>76</v>
      </c>
    </row>
    <row r="752" spans="1:3" x14ac:dyDescent="0.25">
      <c r="A752" t="str">
        <f>"130042146"</f>
        <v>130042146</v>
      </c>
      <c r="B752" t="str">
        <f>"EHPAD LES TEMPS BLEUS"</f>
        <v>EHPAD LES TEMPS BLEUS</v>
      </c>
      <c r="C752" t="s">
        <v>76</v>
      </c>
    </row>
    <row r="753" spans="1:3" x14ac:dyDescent="0.25">
      <c r="A753" t="str">
        <f>"130042484"</f>
        <v>130042484</v>
      </c>
      <c r="B753" t="str">
        <f>"EHPAD RESIDENCE OLYMPE"</f>
        <v>EHPAD RESIDENCE OLYMPE</v>
      </c>
      <c r="C753" t="s">
        <v>76</v>
      </c>
    </row>
    <row r="754" spans="1:3" x14ac:dyDescent="0.25">
      <c r="A754" t="str">
        <f>"130042666"</f>
        <v>130042666</v>
      </c>
      <c r="B754" t="str">
        <f>"EHPAD KORIAN DOMAINE DE COLLONGUE"</f>
        <v>EHPAD KORIAN DOMAINE DE COLLONGUE</v>
      </c>
      <c r="C754" t="s">
        <v>76</v>
      </c>
    </row>
    <row r="755" spans="1:3" x14ac:dyDescent="0.25">
      <c r="A755" t="str">
        <f>"130043425"</f>
        <v>130043425</v>
      </c>
      <c r="B755" t="str">
        <f>"EHPAD RESIDENCE LA SOUSTO"</f>
        <v>EHPAD RESIDENCE LA SOUSTO</v>
      </c>
      <c r="C755" t="s">
        <v>76</v>
      </c>
    </row>
    <row r="756" spans="1:3" x14ac:dyDescent="0.25">
      <c r="A756" t="str">
        <f>"130043797"</f>
        <v>130043797</v>
      </c>
      <c r="B756" t="str">
        <f>"EHPAD LA CARRAIRADE"</f>
        <v>EHPAD LA CARRAIRADE</v>
      </c>
      <c r="C756" t="s">
        <v>76</v>
      </c>
    </row>
    <row r="757" spans="1:3" x14ac:dyDescent="0.25">
      <c r="A757" t="str">
        <f>"130044340"</f>
        <v>130044340</v>
      </c>
      <c r="B757" t="str">
        <f>"EHPAD KORIAN LES RESTANQUES"</f>
        <v>EHPAD KORIAN LES RESTANQUES</v>
      </c>
      <c r="C757" t="s">
        <v>76</v>
      </c>
    </row>
    <row r="758" spans="1:3" x14ac:dyDescent="0.25">
      <c r="A758" t="str">
        <f>"130044670"</f>
        <v>130044670</v>
      </c>
      <c r="B758" t="str">
        <f>"EHPAD LES OLIVIERS DE SAINT-JEAN"</f>
        <v>EHPAD LES OLIVIERS DE SAINT-JEAN</v>
      </c>
      <c r="C758" t="s">
        <v>76</v>
      </c>
    </row>
    <row r="759" spans="1:3" x14ac:dyDescent="0.25">
      <c r="A759" t="str">
        <f>"130045321"</f>
        <v>130045321</v>
      </c>
      <c r="B759" t="str">
        <f>"EHPAD RESIDENCE REPUBLIQUE DAMES"</f>
        <v>EHPAD RESIDENCE REPUBLIQUE DAMES</v>
      </c>
      <c r="C759" t="s">
        <v>76</v>
      </c>
    </row>
    <row r="760" spans="1:3" x14ac:dyDescent="0.25">
      <c r="A760" t="str">
        <f>"130045396"</f>
        <v>130045396</v>
      </c>
      <c r="B760" t="str">
        <f>"EHPAD JOLIETTE"</f>
        <v>EHPAD JOLIETTE</v>
      </c>
      <c r="C760" t="s">
        <v>76</v>
      </c>
    </row>
    <row r="761" spans="1:3" x14ac:dyDescent="0.25">
      <c r="A761" t="str">
        <f>"130045537"</f>
        <v>130045537</v>
      </c>
      <c r="B761" t="str">
        <f>"EHPAD RESIDENCE PASTEUR"</f>
        <v>EHPAD RESIDENCE PASTEUR</v>
      </c>
      <c r="C761" t="s">
        <v>76</v>
      </c>
    </row>
    <row r="762" spans="1:3" x14ac:dyDescent="0.25">
      <c r="A762" t="str">
        <f>"130046907"</f>
        <v>130046907</v>
      </c>
      <c r="B762" t="str">
        <f>"EHPAD LA BASTIDE DES MEJEANS"</f>
        <v>EHPAD LA BASTIDE DES MEJEANS</v>
      </c>
      <c r="C762" t="s">
        <v>76</v>
      </c>
    </row>
    <row r="763" spans="1:3" x14ac:dyDescent="0.25">
      <c r="A763" t="str">
        <f>"130046923"</f>
        <v>130046923</v>
      </c>
      <c r="B763" t="str">
        <f>"ACCUEIL JOUR - EHPAD JARDINS MIRABEAU"</f>
        <v>ACCUEIL JOUR - EHPAD JARDINS MIRABEAU</v>
      </c>
      <c r="C763" t="s">
        <v>76</v>
      </c>
    </row>
    <row r="764" spans="1:3" x14ac:dyDescent="0.25">
      <c r="A764" t="str">
        <f>"130050487"</f>
        <v>130050487</v>
      </c>
      <c r="B764" t="str">
        <f>"EHPAD RESIDENCE SAINTE MARTHE"</f>
        <v>EHPAD RESIDENCE SAINTE MARTHE</v>
      </c>
      <c r="C764" t="s">
        <v>76</v>
      </c>
    </row>
    <row r="765" spans="1:3" x14ac:dyDescent="0.25">
      <c r="A765" t="str">
        <f>"130780059"</f>
        <v>130780059</v>
      </c>
      <c r="B765" t="str">
        <f>"EHPAD LE CHATEAU DES MARTEGAUX"</f>
        <v>EHPAD LE CHATEAU DES MARTEGAUX</v>
      </c>
      <c r="C765" t="s">
        <v>76</v>
      </c>
    </row>
    <row r="766" spans="1:3" x14ac:dyDescent="0.25">
      <c r="A766" t="str">
        <f>"130780067"</f>
        <v>130780067</v>
      </c>
      <c r="B766" t="str">
        <f>"EHPAD LES OPALINES CLAIRFONTAINE"</f>
        <v>EHPAD LES OPALINES CLAIRFONTAINE</v>
      </c>
      <c r="C766" t="s">
        <v>76</v>
      </c>
    </row>
    <row r="767" spans="1:3" x14ac:dyDescent="0.25">
      <c r="A767" t="str">
        <f>"130780109"</f>
        <v>130780109</v>
      </c>
      <c r="B767" t="str">
        <f>"EHPAD LE DOMAINE DE FONTFREDE"</f>
        <v>EHPAD LE DOMAINE DE FONTFREDE</v>
      </c>
      <c r="C767" t="s">
        <v>76</v>
      </c>
    </row>
    <row r="768" spans="1:3" x14ac:dyDescent="0.25">
      <c r="A768" t="str">
        <f>"130780125"</f>
        <v>130780125</v>
      </c>
      <c r="B768" t="str">
        <f>"EHPAD KORIAN MISTRAL"</f>
        <v>EHPAD KORIAN MISTRAL</v>
      </c>
      <c r="C768" t="s">
        <v>76</v>
      </c>
    </row>
    <row r="769" spans="1:3" x14ac:dyDescent="0.25">
      <c r="A769" t="str">
        <f>"130780141"</f>
        <v>130780141</v>
      </c>
      <c r="B769" t="str">
        <f>"EHPAD LES CAMOINS"</f>
        <v>EHPAD LES CAMOINS</v>
      </c>
      <c r="C769" t="s">
        <v>76</v>
      </c>
    </row>
    <row r="770" spans="1:3" x14ac:dyDescent="0.25">
      <c r="A770" t="str">
        <f>"130780166"</f>
        <v>130780166</v>
      </c>
      <c r="B770" t="str">
        <f>"EHPAD KORIAN LA PAQUERIE"</f>
        <v>EHPAD KORIAN LA PAQUERIE</v>
      </c>
      <c r="C770" t="s">
        <v>76</v>
      </c>
    </row>
    <row r="771" spans="1:3" x14ac:dyDescent="0.25">
      <c r="A771" t="str">
        <f>"130780216"</f>
        <v>130780216</v>
      </c>
      <c r="B771" t="str">
        <f>"EHPAD SAINT MAUR"</f>
        <v>EHPAD SAINT MAUR</v>
      </c>
      <c r="C771" t="s">
        <v>76</v>
      </c>
    </row>
    <row r="772" spans="1:3" x14ac:dyDescent="0.25">
      <c r="A772" t="str">
        <f>"130780224"</f>
        <v>130780224</v>
      </c>
      <c r="B772" t="str">
        <f>"EHPAD LES SEOLANES"</f>
        <v>EHPAD LES SEOLANES</v>
      </c>
      <c r="C772" t="s">
        <v>76</v>
      </c>
    </row>
    <row r="773" spans="1:3" x14ac:dyDescent="0.25">
      <c r="A773" t="str">
        <f>"130780307"</f>
        <v>130780307</v>
      </c>
      <c r="B773" t="str">
        <f>"EHPAD SAINT BARTHELEMY"</f>
        <v>EHPAD SAINT BARTHELEMY</v>
      </c>
      <c r="C773" t="s">
        <v>76</v>
      </c>
    </row>
    <row r="774" spans="1:3" x14ac:dyDescent="0.25">
      <c r="A774" t="str">
        <f>"130780356"</f>
        <v>130780356</v>
      </c>
      <c r="B774" t="str">
        <f>"EHPAD RESIDENCE MAGDALA"</f>
        <v>EHPAD RESIDENCE MAGDALA</v>
      </c>
      <c r="C774" t="s">
        <v>76</v>
      </c>
    </row>
    <row r="775" spans="1:3" x14ac:dyDescent="0.25">
      <c r="A775" t="str">
        <f>"130780646"</f>
        <v>130780646</v>
      </c>
      <c r="B775" t="str">
        <f>"EHPAD SAINT GEORGES"</f>
        <v>EHPAD SAINT GEORGES</v>
      </c>
      <c r="C775" t="s">
        <v>76</v>
      </c>
    </row>
    <row r="776" spans="1:3" x14ac:dyDescent="0.25">
      <c r="A776" t="str">
        <f>"130780778"</f>
        <v>130780778</v>
      </c>
      <c r="B776" t="str">
        <f>"EHPAD LA FRUITIERE"</f>
        <v>EHPAD LA FRUITIERE</v>
      </c>
      <c r="C776" t="s">
        <v>76</v>
      </c>
    </row>
    <row r="777" spans="1:3" x14ac:dyDescent="0.25">
      <c r="A777" t="str">
        <f>"130780786"</f>
        <v>130780786</v>
      </c>
      <c r="B777" t="str">
        <f>"EHPAD RESIDENCE  LES JONQUILLES"</f>
        <v>EHPAD RESIDENCE  LES JONQUILLES</v>
      </c>
      <c r="C777" t="s">
        <v>76</v>
      </c>
    </row>
    <row r="778" spans="1:3" x14ac:dyDescent="0.25">
      <c r="A778" t="str">
        <f>"130780794"</f>
        <v>130780794</v>
      </c>
      <c r="B778" t="str">
        <f>"EHPAD LE BOCAGE"</f>
        <v>EHPAD LE BOCAGE</v>
      </c>
      <c r="C778" t="s">
        <v>76</v>
      </c>
    </row>
    <row r="779" spans="1:3" x14ac:dyDescent="0.25">
      <c r="A779" t="str">
        <f>"130780810"</f>
        <v>130780810</v>
      </c>
      <c r="B779" t="str">
        <f>"EHPAD LA MAISON SAINTE EMILIE"</f>
        <v>EHPAD LA MAISON SAINTE EMILIE</v>
      </c>
      <c r="C779" t="s">
        <v>76</v>
      </c>
    </row>
    <row r="780" spans="1:3" x14ac:dyDescent="0.25">
      <c r="A780" t="str">
        <f>"130780828"</f>
        <v>130780828</v>
      </c>
      <c r="B780" t="str">
        <f>"EHPAD MAGUEN"</f>
        <v>EHPAD MAGUEN</v>
      </c>
      <c r="C780" t="s">
        <v>76</v>
      </c>
    </row>
    <row r="781" spans="1:3" x14ac:dyDescent="0.25">
      <c r="A781" t="str">
        <f>"130780869"</f>
        <v>130780869</v>
      </c>
      <c r="B781" t="str">
        <f>"EHPAD MAISON DE LA PINEDE"</f>
        <v>EHPAD MAISON DE LA PINEDE</v>
      </c>
      <c r="C781" t="s">
        <v>76</v>
      </c>
    </row>
    <row r="782" spans="1:3" x14ac:dyDescent="0.25">
      <c r="A782" t="str">
        <f>"130780885"</f>
        <v>130780885</v>
      </c>
      <c r="B782" t="str">
        <f>"EHPAD ENCLOS SAINT CESAIRE"</f>
        <v>EHPAD ENCLOS SAINT CESAIRE</v>
      </c>
      <c r="C782" t="s">
        <v>76</v>
      </c>
    </row>
    <row r="783" spans="1:3" x14ac:dyDescent="0.25">
      <c r="A783" t="str">
        <f>"130781297"</f>
        <v>130781297</v>
      </c>
      <c r="B783" t="str">
        <f>"EHPAD LES OPALINES AIX-EN-PROVENCE"</f>
        <v>EHPAD LES OPALINES AIX-EN-PROVENCE</v>
      </c>
      <c r="C783" t="s">
        <v>76</v>
      </c>
    </row>
    <row r="784" spans="1:3" x14ac:dyDescent="0.25">
      <c r="A784" t="str">
        <f>"130781347"</f>
        <v>130781347</v>
      </c>
      <c r="B784" t="str">
        <f>"EHPAD RESIDENCE LA PROVENCE"</f>
        <v>EHPAD RESIDENCE LA PROVENCE</v>
      </c>
      <c r="C784" t="s">
        <v>76</v>
      </c>
    </row>
    <row r="785" spans="1:3" x14ac:dyDescent="0.25">
      <c r="A785" t="str">
        <f>"130781388"</f>
        <v>130781388</v>
      </c>
      <c r="B785" t="str">
        <f>"EHPAD PUBLIC JEANNE CALMENT"</f>
        <v>EHPAD PUBLIC JEANNE CALMENT</v>
      </c>
      <c r="C785" t="s">
        <v>76</v>
      </c>
    </row>
    <row r="786" spans="1:3" x14ac:dyDescent="0.25">
      <c r="A786" t="str">
        <f>"130781453"</f>
        <v>130781453</v>
      </c>
      <c r="B786" t="str">
        <f>"RESIDENCE LA MAISON DE FANNIE"</f>
        <v>RESIDENCE LA MAISON DE FANNIE</v>
      </c>
      <c r="C786" t="s">
        <v>76</v>
      </c>
    </row>
    <row r="787" spans="1:3" x14ac:dyDescent="0.25">
      <c r="A787" t="str">
        <f>"130781461"</f>
        <v>130781461</v>
      </c>
      <c r="B787" t="str">
        <f>"EHPAD LES JARDINS DE BEAUVALLON"</f>
        <v>EHPAD LES JARDINS DE BEAUVALLON</v>
      </c>
      <c r="C787" t="s">
        <v>76</v>
      </c>
    </row>
    <row r="788" spans="1:3" x14ac:dyDescent="0.25">
      <c r="A788" t="str">
        <f>"130781487"</f>
        <v>130781487</v>
      </c>
      <c r="B788" t="str">
        <f>"EHPAD. CASTEL ROSERAIE"</f>
        <v>EHPAD. CASTEL ROSERAIE</v>
      </c>
      <c r="C788" t="s">
        <v>76</v>
      </c>
    </row>
    <row r="789" spans="1:3" x14ac:dyDescent="0.25">
      <c r="A789" t="str">
        <f>"130781503"</f>
        <v>130781503</v>
      </c>
      <c r="B789" t="str">
        <f>"EHPAD CHATEAU DE L'AUMONE"</f>
        <v>EHPAD CHATEAU DE L'AUMONE</v>
      </c>
      <c r="C789" t="s">
        <v>76</v>
      </c>
    </row>
    <row r="790" spans="1:3" x14ac:dyDescent="0.25">
      <c r="A790" t="str">
        <f>"130781537"</f>
        <v>130781537</v>
      </c>
      <c r="B790" t="str">
        <f>"EHPAD KORIAN VAL PRE"</f>
        <v>EHPAD KORIAN VAL PRE</v>
      </c>
      <c r="C790" t="s">
        <v>76</v>
      </c>
    </row>
    <row r="791" spans="1:3" x14ac:dyDescent="0.25">
      <c r="A791" t="str">
        <f>"130781602"</f>
        <v>130781602</v>
      </c>
      <c r="B791" t="str">
        <f>"EHPAD KORIAN CLAUDE DEBUSSY"</f>
        <v>EHPAD KORIAN CLAUDE DEBUSSY</v>
      </c>
      <c r="C791" t="s">
        <v>76</v>
      </c>
    </row>
    <row r="792" spans="1:3" x14ac:dyDescent="0.25">
      <c r="A792" t="str">
        <f>"130781628"</f>
        <v>130781628</v>
      </c>
      <c r="B792" t="str">
        <f>"MAISON DE RETRAITE LUCIENNE MARTIN"</f>
        <v>MAISON DE RETRAITE LUCIENNE MARTIN</v>
      </c>
      <c r="C792" t="s">
        <v>76</v>
      </c>
    </row>
    <row r="793" spans="1:3" x14ac:dyDescent="0.25">
      <c r="A793" t="str">
        <f>"130781636"</f>
        <v>130781636</v>
      </c>
      <c r="B793" t="str">
        <f>"EHPAD PUBLIC LA RAPHAELE"</f>
        <v>EHPAD PUBLIC LA RAPHAELE</v>
      </c>
      <c r="C793" t="s">
        <v>76</v>
      </c>
    </row>
    <row r="794" spans="1:3" x14ac:dyDescent="0.25">
      <c r="A794" t="str">
        <f>"130781644"</f>
        <v>130781644</v>
      </c>
      <c r="B794" t="str">
        <f>"EHPAD PUBLIC AUTONOME COM. LE CHATEAU"</f>
        <v>EHPAD PUBLIC AUTONOME COM. LE CHATEAU</v>
      </c>
      <c r="C794" t="s">
        <v>76</v>
      </c>
    </row>
    <row r="795" spans="1:3" x14ac:dyDescent="0.25">
      <c r="A795" t="str">
        <f>"130781669"</f>
        <v>130781669</v>
      </c>
      <c r="B795" t="str">
        <f>"EHPAD CHATEAU DE LA MALLE"</f>
        <v>EHPAD CHATEAU DE LA MALLE</v>
      </c>
      <c r="C795" t="s">
        <v>76</v>
      </c>
    </row>
    <row r="796" spans="1:3" x14ac:dyDescent="0.25">
      <c r="A796" t="str">
        <f>"130781693"</f>
        <v>130781693</v>
      </c>
      <c r="B796" t="str">
        <f>"EHPAD INTERCOMMUNAL LA DURANCE"</f>
        <v>EHPAD INTERCOMMUNAL LA DURANCE</v>
      </c>
      <c r="C796" t="s">
        <v>76</v>
      </c>
    </row>
    <row r="797" spans="1:3" x14ac:dyDescent="0.25">
      <c r="A797" t="str">
        <f>"130781743"</f>
        <v>130781743</v>
      </c>
      <c r="B797" t="str">
        <f>"EHPAD LA SOUBEYRANE"</f>
        <v>EHPAD LA SOUBEYRANE</v>
      </c>
      <c r="C797" t="s">
        <v>76</v>
      </c>
    </row>
    <row r="798" spans="1:3" x14ac:dyDescent="0.25">
      <c r="A798" t="str">
        <f>"130781792"</f>
        <v>130781792</v>
      </c>
      <c r="B798" t="str">
        <f>"EHPAD PUBLIC CANTO CIGALO"</f>
        <v>EHPAD PUBLIC CANTO CIGALO</v>
      </c>
      <c r="C798" t="s">
        <v>76</v>
      </c>
    </row>
    <row r="799" spans="1:3" x14ac:dyDescent="0.25">
      <c r="A799" t="str">
        <f>"130781933"</f>
        <v>130781933</v>
      </c>
      <c r="B799" t="str">
        <f>"EHPAD UN HAMEAU POUR LA RETRAITE"</f>
        <v>EHPAD UN HAMEAU POUR LA RETRAITE</v>
      </c>
      <c r="C799" t="s">
        <v>76</v>
      </c>
    </row>
    <row r="800" spans="1:3" x14ac:dyDescent="0.25">
      <c r="A800" t="str">
        <f>"130781958"</f>
        <v>130781958</v>
      </c>
      <c r="B800" t="str">
        <f>"EHPAD PUBLIC SAINT JEAN"</f>
        <v>EHPAD PUBLIC SAINT JEAN</v>
      </c>
      <c r="C800" t="s">
        <v>76</v>
      </c>
    </row>
    <row r="801" spans="1:3" x14ac:dyDescent="0.25">
      <c r="A801" t="str">
        <f>"130782030"</f>
        <v>130782030</v>
      </c>
      <c r="B801" t="str">
        <f>"EHPAD FLORE D'ARC"</f>
        <v>EHPAD FLORE D'ARC</v>
      </c>
      <c r="C801" t="s">
        <v>76</v>
      </c>
    </row>
    <row r="802" spans="1:3" x14ac:dyDescent="0.25">
      <c r="A802" t="str">
        <f>"130782048"</f>
        <v>130782048</v>
      </c>
      <c r="B802" t="str">
        <f>"EHPAD RESIDENCE SAINT ANTOINE"</f>
        <v>EHPAD RESIDENCE SAINT ANTOINE</v>
      </c>
      <c r="C802" t="s">
        <v>76</v>
      </c>
    </row>
    <row r="803" spans="1:3" x14ac:dyDescent="0.25">
      <c r="A803" t="str">
        <f>"130782089"</f>
        <v>130782089</v>
      </c>
      <c r="B803" t="str">
        <f>"EHPAD PUB AUTONOME LES CARDALINES"</f>
        <v>EHPAD PUB AUTONOME LES CARDALINES</v>
      </c>
      <c r="C803" t="s">
        <v>76</v>
      </c>
    </row>
    <row r="804" spans="1:3" x14ac:dyDescent="0.25">
      <c r="A804" t="str">
        <f>"130782113"</f>
        <v>130782113</v>
      </c>
      <c r="B804" t="str">
        <f>"EHPAD UN JARDIN ENSOLEILLE-LAMBESC"</f>
        <v>EHPAD UN JARDIN ENSOLEILLE-LAMBESC</v>
      </c>
      <c r="C804" t="s">
        <v>76</v>
      </c>
    </row>
    <row r="805" spans="1:3" x14ac:dyDescent="0.25">
      <c r="A805" t="str">
        <f>"130782121"</f>
        <v>130782121</v>
      </c>
      <c r="B805" t="str">
        <f>"EHPAD OUSTAU DI DAILLAN"</f>
        <v>EHPAD OUSTAU DI DAILLAN</v>
      </c>
      <c r="C805" t="s">
        <v>76</v>
      </c>
    </row>
    <row r="806" spans="1:3" x14ac:dyDescent="0.25">
      <c r="A806" t="str">
        <f>"130782139"</f>
        <v>130782139</v>
      </c>
      <c r="B806" t="str">
        <f>"EHPAD LE FELIBRIGE"</f>
        <v>EHPAD LE FELIBRIGE</v>
      </c>
      <c r="C806" t="s">
        <v>76</v>
      </c>
    </row>
    <row r="807" spans="1:3" x14ac:dyDescent="0.25">
      <c r="A807" t="str">
        <f>"130782220"</f>
        <v>130782220</v>
      </c>
      <c r="B807" t="str">
        <f>"EHPAD PUBLIC  LA VALLEE DES BAUX"</f>
        <v>EHPAD PUBLIC  LA VALLEE DES BAUX</v>
      </c>
      <c r="C807" t="s">
        <v>76</v>
      </c>
    </row>
    <row r="808" spans="1:3" x14ac:dyDescent="0.25">
      <c r="A808" t="str">
        <f>"130782238"</f>
        <v>130782238</v>
      </c>
      <c r="B808" t="str">
        <f>"EHPAD RESIDENCE LES JARDINS FLEURIS"</f>
        <v>EHPAD RESIDENCE LES JARDINS FLEURIS</v>
      </c>
      <c r="C808" t="s">
        <v>76</v>
      </c>
    </row>
    <row r="809" spans="1:3" x14ac:dyDescent="0.25">
      <c r="A809" t="str">
        <f>"130782253"</f>
        <v>130782253</v>
      </c>
      <c r="B809" t="str">
        <f>"EHPAD INTERCOMMUNALE LA DURANCE"</f>
        <v>EHPAD INTERCOMMUNALE LA DURANCE</v>
      </c>
      <c r="C809" t="s">
        <v>76</v>
      </c>
    </row>
    <row r="810" spans="1:3" x14ac:dyDescent="0.25">
      <c r="A810" t="str">
        <f>"130782360"</f>
        <v>130782360</v>
      </c>
      <c r="B810" t="str">
        <f>"EHPAD LES MAGNOLIAS"</f>
        <v>EHPAD LES MAGNOLIAS</v>
      </c>
      <c r="C810" t="s">
        <v>76</v>
      </c>
    </row>
    <row r="811" spans="1:3" x14ac:dyDescent="0.25">
      <c r="A811" t="str">
        <f>"130782410"</f>
        <v>130782410</v>
      </c>
      <c r="B811" t="str">
        <f>"EHPAD CAIRE VAL"</f>
        <v>EHPAD CAIRE VAL</v>
      </c>
      <c r="C811" t="s">
        <v>76</v>
      </c>
    </row>
    <row r="812" spans="1:3" x14ac:dyDescent="0.25">
      <c r="A812" t="str">
        <f>"130782485"</f>
        <v>130782485</v>
      </c>
      <c r="B812" t="str">
        <f>"MDR PUBLIQUE DE ROQUEVAIRE L'AGE D'OR"</f>
        <v>MDR PUBLIQUE DE ROQUEVAIRE L'AGE D'OR</v>
      </c>
      <c r="C812" t="s">
        <v>76</v>
      </c>
    </row>
    <row r="813" spans="1:3" x14ac:dyDescent="0.25">
      <c r="A813" t="str">
        <f>"130782519"</f>
        <v>130782519</v>
      </c>
      <c r="B813" t="str">
        <f>"UN JARDIN ENSOLEILLE-SAINT CANNAT"</f>
        <v>UN JARDIN ENSOLEILLE-SAINT CANNAT</v>
      </c>
      <c r="C813" t="s">
        <v>76</v>
      </c>
    </row>
    <row r="814" spans="1:3" x14ac:dyDescent="0.25">
      <c r="A814" t="str">
        <f>"130782527"</f>
        <v>130782527</v>
      </c>
      <c r="B814" t="str">
        <f>"EHPAD RESIDENCE LA PASTOURELLO"</f>
        <v>EHPAD RESIDENCE LA PASTOURELLO</v>
      </c>
      <c r="C814" t="s">
        <v>76</v>
      </c>
    </row>
    <row r="815" spans="1:3" x14ac:dyDescent="0.25">
      <c r="A815" t="str">
        <f>"130782667"</f>
        <v>130782667</v>
      </c>
      <c r="B815" t="str">
        <f>"EHPAD ENCLOS SAINT LEON"</f>
        <v>EHPAD ENCLOS SAINT LEON</v>
      </c>
      <c r="C815" t="s">
        <v>76</v>
      </c>
    </row>
    <row r="816" spans="1:3" x14ac:dyDescent="0.25">
      <c r="A816" t="str">
        <f>"130782808"</f>
        <v>130782808</v>
      </c>
      <c r="B816" t="str">
        <f>"EHPAD RESIDENCE LEOPOLD CARTOUX"</f>
        <v>EHPAD RESIDENCE LEOPOLD CARTOUX</v>
      </c>
      <c r="C816" t="s">
        <v>76</v>
      </c>
    </row>
    <row r="817" spans="1:3" x14ac:dyDescent="0.25">
      <c r="A817" t="str">
        <f>"130782816"</f>
        <v>130782816</v>
      </c>
      <c r="B817" t="str">
        <f>"EHPAD LA BASTIDE DES OLIVIERS"</f>
        <v>EHPAD LA BASTIDE DES OLIVIERS</v>
      </c>
      <c r="C817" t="s">
        <v>76</v>
      </c>
    </row>
    <row r="818" spans="1:3" x14ac:dyDescent="0.25">
      <c r="A818" t="str">
        <f>"130783103"</f>
        <v>130783103</v>
      </c>
      <c r="B818" t="str">
        <f>"PETITES SOEURS DES PAUVRES MA MAISON"</f>
        <v>PETITES SOEURS DES PAUVRES MA MAISON</v>
      </c>
      <c r="C818" t="s">
        <v>76</v>
      </c>
    </row>
    <row r="819" spans="1:3" x14ac:dyDescent="0.25">
      <c r="A819" t="str">
        <f>"130783749"</f>
        <v>130783749</v>
      </c>
      <c r="B819" t="str">
        <f>"EHPAD NOTRE MAISON"</f>
        <v>EHPAD NOTRE MAISON</v>
      </c>
      <c r="C819" t="s">
        <v>76</v>
      </c>
    </row>
    <row r="820" spans="1:3" x14ac:dyDescent="0.25">
      <c r="A820" t="str">
        <f>"130783988"</f>
        <v>130783988</v>
      </c>
      <c r="B820" t="str">
        <f>"EHPAD  BEAU SITE"</f>
        <v>EHPAD  BEAU SITE</v>
      </c>
      <c r="C820" t="s">
        <v>76</v>
      </c>
    </row>
    <row r="821" spans="1:3" x14ac:dyDescent="0.25">
      <c r="A821" t="str">
        <f>"130784002"</f>
        <v>130784002</v>
      </c>
      <c r="B821" t="str">
        <f>"EHPAD BON PASTEUR"</f>
        <v>EHPAD BON PASTEUR</v>
      </c>
      <c r="C821" t="s">
        <v>76</v>
      </c>
    </row>
    <row r="822" spans="1:3" x14ac:dyDescent="0.25">
      <c r="A822" t="str">
        <f>"130784242"</f>
        <v>130784242</v>
      </c>
      <c r="B822" t="str">
        <f>"EHPAD LA SALETTE MONTVAL"</f>
        <v>EHPAD LA SALETTE MONTVAL</v>
      </c>
      <c r="C822" t="s">
        <v>76</v>
      </c>
    </row>
    <row r="823" spans="1:3" x14ac:dyDescent="0.25">
      <c r="A823" t="str">
        <f>"130784424"</f>
        <v>130784424</v>
      </c>
      <c r="B823" t="str">
        <f>"EHPAD RESIDENCE AERIA"</f>
        <v>EHPAD RESIDENCE AERIA</v>
      </c>
      <c r="C823" t="s">
        <v>76</v>
      </c>
    </row>
    <row r="824" spans="1:3" x14ac:dyDescent="0.25">
      <c r="A824" t="str">
        <f>"130784473"</f>
        <v>130784473</v>
      </c>
      <c r="B824" t="str">
        <f>"EHPAD LA VILLA DES POETES"</f>
        <v>EHPAD LA VILLA DES POETES</v>
      </c>
      <c r="C824" t="s">
        <v>76</v>
      </c>
    </row>
    <row r="825" spans="1:3" x14ac:dyDescent="0.25">
      <c r="A825" t="str">
        <f>"130784739"</f>
        <v>130784739</v>
      </c>
      <c r="B825" t="str">
        <f>"EHPAD PUBLIC LE PETIT BOSQUET"</f>
        <v>EHPAD PUBLIC LE PETIT BOSQUET</v>
      </c>
      <c r="C825" t="s">
        <v>76</v>
      </c>
    </row>
    <row r="826" spans="1:3" x14ac:dyDescent="0.25">
      <c r="A826" t="str">
        <f>"130784747"</f>
        <v>130784747</v>
      </c>
      <c r="B826" t="str">
        <f>"EHPAD LA ROSERAIE"</f>
        <v>EHPAD LA ROSERAIE</v>
      </c>
      <c r="C826" t="s">
        <v>76</v>
      </c>
    </row>
    <row r="827" spans="1:3" x14ac:dyDescent="0.25">
      <c r="A827" t="str">
        <f>"130784754"</f>
        <v>130784754</v>
      </c>
      <c r="B827" t="str">
        <f>"EHPAD LA BASTIDE SAINT JEAN"</f>
        <v>EHPAD LA BASTIDE SAINT JEAN</v>
      </c>
      <c r="C827" t="s">
        <v>76</v>
      </c>
    </row>
    <row r="828" spans="1:3" x14ac:dyDescent="0.25">
      <c r="A828" t="str">
        <f>"130784820"</f>
        <v>130784820</v>
      </c>
      <c r="B828" t="str">
        <f>"EHPAD LES JARDINS D'HAITI"</f>
        <v>EHPAD LES JARDINS D'HAITI</v>
      </c>
      <c r="C828" t="s">
        <v>76</v>
      </c>
    </row>
    <row r="829" spans="1:3" x14ac:dyDescent="0.25">
      <c r="A829" t="str">
        <f>"130784838"</f>
        <v>130784838</v>
      </c>
      <c r="B829" t="str">
        <f>"RESIDENCE SAINT BARNABE"</f>
        <v>RESIDENCE SAINT BARNABE</v>
      </c>
      <c r="C829" t="s">
        <v>76</v>
      </c>
    </row>
    <row r="830" spans="1:3" x14ac:dyDescent="0.25">
      <c r="A830" t="str">
        <f>"130784978"</f>
        <v>130784978</v>
      </c>
      <c r="B830" t="str">
        <f>"RES.FOYER MEDITERRANEEN-CANNES BLANCHE"</f>
        <v>RES.FOYER MEDITERRANEEN-CANNES BLANCHE</v>
      </c>
      <c r="C830" t="s">
        <v>76</v>
      </c>
    </row>
    <row r="831" spans="1:3" x14ac:dyDescent="0.25">
      <c r="A831" t="str">
        <f>"130786791"</f>
        <v>130786791</v>
      </c>
      <c r="B831" t="str">
        <f>"EHPAD RESIDENCE JEANNE D'ARC"</f>
        <v>EHPAD RESIDENCE JEANNE D'ARC</v>
      </c>
      <c r="C831" t="s">
        <v>76</v>
      </c>
    </row>
    <row r="832" spans="1:3" x14ac:dyDescent="0.25">
      <c r="A832" t="str">
        <f>"130787195"</f>
        <v>130787195</v>
      </c>
      <c r="B832" t="str">
        <f>"EHPAD RESIDENCE L'ENSOULEIADO"</f>
        <v>EHPAD RESIDENCE L'ENSOULEIADO</v>
      </c>
      <c r="C832" t="s">
        <v>76</v>
      </c>
    </row>
    <row r="833" spans="1:3" x14ac:dyDescent="0.25">
      <c r="A833" t="str">
        <f>"130787286"</f>
        <v>130787286</v>
      </c>
      <c r="B833" t="str">
        <f>"EHPAD RESIDENCE GRIFFEUILLE"</f>
        <v>EHPAD RESIDENCE GRIFFEUILLE</v>
      </c>
      <c r="C833" t="s">
        <v>76</v>
      </c>
    </row>
    <row r="834" spans="1:3" x14ac:dyDescent="0.25">
      <c r="A834" t="str">
        <f>"130790041"</f>
        <v>130790041</v>
      </c>
      <c r="B834" t="str">
        <f>"EHPAD RESIDENCE CLOS SAINT MARTIN"</f>
        <v>EHPAD RESIDENCE CLOS SAINT MARTIN</v>
      </c>
      <c r="C834" t="s">
        <v>76</v>
      </c>
    </row>
    <row r="835" spans="1:3" x14ac:dyDescent="0.25">
      <c r="A835" t="str">
        <f>"130790082"</f>
        <v>130790082</v>
      </c>
      <c r="B835" t="str">
        <f>"EHPAD RESIDENCE LES EPIS D'OR"</f>
        <v>EHPAD RESIDENCE LES EPIS D'OR</v>
      </c>
      <c r="C835" t="s">
        <v>76</v>
      </c>
    </row>
    <row r="836" spans="1:3" x14ac:dyDescent="0.25">
      <c r="A836" t="str">
        <f>"130790322"</f>
        <v>130790322</v>
      </c>
      <c r="B836" t="str">
        <f>"EHPAD ACCUEIL REGAIN"</f>
        <v>EHPAD ACCUEIL REGAIN</v>
      </c>
      <c r="C836" t="s">
        <v>76</v>
      </c>
    </row>
    <row r="837" spans="1:3" x14ac:dyDescent="0.25">
      <c r="A837" t="str">
        <f>"130796329"</f>
        <v>130796329</v>
      </c>
      <c r="B837" t="str">
        <f>"EHPAD CLERC DE MOLIERES"</f>
        <v>EHPAD CLERC DE MOLIERES</v>
      </c>
      <c r="C837" t="s">
        <v>76</v>
      </c>
    </row>
    <row r="838" spans="1:3" x14ac:dyDescent="0.25">
      <c r="A838" t="str">
        <f>"130796543"</f>
        <v>130796543</v>
      </c>
      <c r="B838" t="str">
        <f>"EHPAD LES OPALINES ARLES"</f>
        <v>EHPAD LES OPALINES ARLES</v>
      </c>
      <c r="C838" t="s">
        <v>76</v>
      </c>
    </row>
    <row r="839" spans="1:3" x14ac:dyDescent="0.25">
      <c r="A839" t="str">
        <f>"130797954"</f>
        <v>130797954</v>
      </c>
      <c r="B839" t="str">
        <f>"EHPAD LA SOUVENANCE"</f>
        <v>EHPAD LA SOUVENANCE</v>
      </c>
      <c r="C839" t="s">
        <v>76</v>
      </c>
    </row>
    <row r="840" spans="1:3" x14ac:dyDescent="0.25">
      <c r="A840" t="str">
        <f>"130798150"</f>
        <v>130798150</v>
      </c>
      <c r="B840" t="str">
        <f>"EHPAD RESIDENCE MARIGNANE"</f>
        <v>EHPAD RESIDENCE MARIGNANE</v>
      </c>
      <c r="C840" t="s">
        <v>76</v>
      </c>
    </row>
    <row r="841" spans="1:3" x14ac:dyDescent="0.25">
      <c r="A841" t="str">
        <f>"130798754"</f>
        <v>130798754</v>
      </c>
      <c r="B841" t="str">
        <f>"EHPAD ST THOMAS DE VILLENEUVE"</f>
        <v>EHPAD ST THOMAS DE VILLENEUVE</v>
      </c>
      <c r="C841" t="s">
        <v>76</v>
      </c>
    </row>
    <row r="842" spans="1:3" x14ac:dyDescent="0.25">
      <c r="A842" t="str">
        <f>"130798762"</f>
        <v>130798762</v>
      </c>
      <c r="B842" t="str">
        <f>"EHPAD RESIDENCE CHEVILLON"</f>
        <v>EHPAD RESIDENCE CHEVILLON</v>
      </c>
      <c r="C842" t="s">
        <v>76</v>
      </c>
    </row>
    <row r="843" spans="1:3" x14ac:dyDescent="0.25">
      <c r="A843" t="str">
        <f>"130798804"</f>
        <v>130798804</v>
      </c>
      <c r="B843" t="str">
        <f>"EHPAD KORIAN PERIER"</f>
        <v>EHPAD KORIAN PERIER</v>
      </c>
      <c r="C843" t="s">
        <v>76</v>
      </c>
    </row>
    <row r="844" spans="1:3" x14ac:dyDescent="0.25">
      <c r="A844" t="str">
        <f>"130800048"</f>
        <v>130800048</v>
      </c>
      <c r="B844" t="str">
        <f>"EHPAD KORIAN VAL DES SOURCES"</f>
        <v>EHPAD KORIAN VAL DES SOURCES</v>
      </c>
      <c r="C844" t="s">
        <v>76</v>
      </c>
    </row>
    <row r="845" spans="1:3" x14ac:dyDescent="0.25">
      <c r="A845" t="str">
        <f>"130800444"</f>
        <v>130800444</v>
      </c>
      <c r="B845" t="str">
        <f>"EHPAD L'OPALE VERTE"</f>
        <v>EHPAD L'OPALE VERTE</v>
      </c>
      <c r="C845" t="s">
        <v>76</v>
      </c>
    </row>
    <row r="846" spans="1:3" x14ac:dyDescent="0.25">
      <c r="A846" t="str">
        <f>"130800493"</f>
        <v>130800493</v>
      </c>
      <c r="B846" t="str">
        <f>"EHPAD CASTELET NOTRE DAME"</f>
        <v>EHPAD CASTELET NOTRE DAME</v>
      </c>
      <c r="C846" t="s">
        <v>76</v>
      </c>
    </row>
    <row r="847" spans="1:3" x14ac:dyDescent="0.25">
      <c r="A847" t="str">
        <f>"130800576"</f>
        <v>130800576</v>
      </c>
      <c r="B847" t="str">
        <f>"EHPAD LE CHENE VERT"</f>
        <v>EHPAD LE CHENE VERT</v>
      </c>
      <c r="C847" t="s">
        <v>76</v>
      </c>
    </row>
    <row r="848" spans="1:3" x14ac:dyDescent="0.25">
      <c r="A848" t="str">
        <f>"130800600"</f>
        <v>130800600</v>
      </c>
      <c r="B848" t="str">
        <f>"EHPAD LES BLACASSINS"</f>
        <v>EHPAD LES BLACASSINS</v>
      </c>
      <c r="C848" t="s">
        <v>76</v>
      </c>
    </row>
    <row r="849" spans="1:3" x14ac:dyDescent="0.25">
      <c r="A849" t="str">
        <f>"130800675"</f>
        <v>130800675</v>
      </c>
      <c r="B849" t="str">
        <f>"EHPAD L'ESTELAN"</f>
        <v>EHPAD L'ESTELAN</v>
      </c>
      <c r="C849" t="s">
        <v>76</v>
      </c>
    </row>
    <row r="850" spans="1:3" x14ac:dyDescent="0.25">
      <c r="A850" t="str">
        <f>"130800816"</f>
        <v>130800816</v>
      </c>
      <c r="B850" t="str">
        <f>"EHPAD RESIDENCE DU LEVANT"</f>
        <v>EHPAD RESIDENCE DU LEVANT</v>
      </c>
      <c r="C850" t="s">
        <v>76</v>
      </c>
    </row>
    <row r="851" spans="1:3" x14ac:dyDescent="0.25">
      <c r="A851" t="str">
        <f>"130800840"</f>
        <v>130800840</v>
      </c>
      <c r="B851" t="str">
        <f>"EHPAD L'ESTEREL"</f>
        <v>EHPAD L'ESTEREL</v>
      </c>
      <c r="C851" t="s">
        <v>76</v>
      </c>
    </row>
    <row r="852" spans="1:3" x14ac:dyDescent="0.25">
      <c r="A852" t="str">
        <f>"130801095"</f>
        <v>130801095</v>
      </c>
      <c r="B852" t="str">
        <f>"EHPAD RESIDENCE L'OCCITANIE"</f>
        <v>EHPAD RESIDENCE L'OCCITANIE</v>
      </c>
      <c r="C852" t="s">
        <v>76</v>
      </c>
    </row>
    <row r="853" spans="1:3" x14ac:dyDescent="0.25">
      <c r="A853" t="str">
        <f>"130801244"</f>
        <v>130801244</v>
      </c>
      <c r="B853" t="str">
        <f>"EHPAD LES ACACIAS"</f>
        <v>EHPAD LES ACACIAS</v>
      </c>
      <c r="C853" t="s">
        <v>76</v>
      </c>
    </row>
    <row r="854" spans="1:3" x14ac:dyDescent="0.25">
      <c r="A854" t="str">
        <f>"130801327"</f>
        <v>130801327</v>
      </c>
      <c r="B854" t="str">
        <f>"EHPAD RESIDENCE MARYLISE"</f>
        <v>EHPAD RESIDENCE MARYLISE</v>
      </c>
      <c r="C854" t="s">
        <v>76</v>
      </c>
    </row>
    <row r="855" spans="1:3" x14ac:dyDescent="0.25">
      <c r="A855" t="str">
        <f>"130801582"</f>
        <v>130801582</v>
      </c>
      <c r="B855" t="str">
        <f>"EHPAD VERTE COLLINE"</f>
        <v>EHPAD VERTE COLLINE</v>
      </c>
      <c r="C855" t="s">
        <v>76</v>
      </c>
    </row>
    <row r="856" spans="1:3" x14ac:dyDescent="0.25">
      <c r="A856" t="str">
        <f>"130801798"</f>
        <v>130801798</v>
      </c>
      <c r="B856" t="str">
        <f>"EHPAD LES JARDINS DE SORMIOU"</f>
        <v>EHPAD LES JARDINS DE SORMIOU</v>
      </c>
      <c r="C856" t="s">
        <v>76</v>
      </c>
    </row>
    <row r="857" spans="1:3" x14ac:dyDescent="0.25">
      <c r="A857" t="str">
        <f>"130801848"</f>
        <v>130801848</v>
      </c>
      <c r="B857" t="str">
        <f>"EHPAD  LA LOINFONTAINE"</f>
        <v>EHPAD  LA LOINFONTAINE</v>
      </c>
      <c r="C857" t="s">
        <v>76</v>
      </c>
    </row>
    <row r="858" spans="1:3" x14ac:dyDescent="0.25">
      <c r="A858" t="str">
        <f>"130801947"</f>
        <v>130801947</v>
      </c>
      <c r="B858" t="str">
        <f>"EHPAD LES OPALINES SAINT CANNAT"</f>
        <v>EHPAD LES OPALINES SAINT CANNAT</v>
      </c>
      <c r="C858" t="s">
        <v>76</v>
      </c>
    </row>
    <row r="859" spans="1:3" x14ac:dyDescent="0.25">
      <c r="A859" t="str">
        <f>"130802044"</f>
        <v>130802044</v>
      </c>
      <c r="B859" t="str">
        <f>"EHPAD RESIDENCE SAINT-LUC"</f>
        <v>EHPAD RESIDENCE SAINT-LUC</v>
      </c>
      <c r="C859" t="s">
        <v>76</v>
      </c>
    </row>
    <row r="860" spans="1:3" x14ac:dyDescent="0.25">
      <c r="A860" t="str">
        <f>"130802119"</f>
        <v>130802119</v>
      </c>
      <c r="B860" t="str">
        <f>"EHPAD B CARRARA"</f>
        <v>EHPAD B CARRARA</v>
      </c>
      <c r="C860" t="s">
        <v>76</v>
      </c>
    </row>
    <row r="861" spans="1:3" x14ac:dyDescent="0.25">
      <c r="A861" t="str">
        <f>"130802135"</f>
        <v>130802135</v>
      </c>
      <c r="B861" t="str">
        <f>"EHPAD PUBLIC DU LAC"</f>
        <v>EHPAD PUBLIC DU LAC</v>
      </c>
      <c r="C861" t="s">
        <v>76</v>
      </c>
    </row>
    <row r="862" spans="1:3" x14ac:dyDescent="0.25">
      <c r="A862" t="str">
        <f>"130802374"</f>
        <v>130802374</v>
      </c>
      <c r="B862" t="str">
        <f>"EHPAD SAINTE VICTOIRE"</f>
        <v>EHPAD SAINTE VICTOIRE</v>
      </c>
      <c r="C862" t="s">
        <v>76</v>
      </c>
    </row>
    <row r="863" spans="1:3" x14ac:dyDescent="0.25">
      <c r="A863" t="str">
        <f>"130802655"</f>
        <v>130802655</v>
      </c>
      <c r="B863" t="str">
        <f>"EHPAD KORIAN LA LOUBIERE"</f>
        <v>EHPAD KORIAN LA LOUBIERE</v>
      </c>
      <c r="C863" t="s">
        <v>76</v>
      </c>
    </row>
    <row r="864" spans="1:3" x14ac:dyDescent="0.25">
      <c r="A864" t="str">
        <f>"130806466"</f>
        <v>130806466</v>
      </c>
      <c r="B864" t="str">
        <f>"EHPAD MARIE GASQUET"</f>
        <v>EHPAD MARIE GASQUET</v>
      </c>
      <c r="C864" t="s">
        <v>76</v>
      </c>
    </row>
    <row r="865" spans="1:3" x14ac:dyDescent="0.25">
      <c r="A865" t="str">
        <f>"130807282"</f>
        <v>130807282</v>
      </c>
      <c r="B865" t="str">
        <f>"EHPAD  LE RAYON DE SOLEIL"</f>
        <v>EHPAD  LE RAYON DE SOLEIL</v>
      </c>
      <c r="C865" t="s">
        <v>76</v>
      </c>
    </row>
    <row r="866" spans="1:3" x14ac:dyDescent="0.25">
      <c r="A866" t="str">
        <f>"130807431"</f>
        <v>130807431</v>
      </c>
      <c r="B866" t="str">
        <f>"EHPAD LES OPALINES LES PENNES MIRABEAU"</f>
        <v>EHPAD LES OPALINES LES PENNES MIRABEAU</v>
      </c>
      <c r="C866" t="s">
        <v>76</v>
      </c>
    </row>
    <row r="867" spans="1:3" x14ac:dyDescent="0.25">
      <c r="A867" t="str">
        <f>"130807845"</f>
        <v>130807845</v>
      </c>
      <c r="B867" t="str">
        <f>"EHPAD RESIDENCE LE GRAND PRE"</f>
        <v>EHPAD RESIDENCE LE GRAND PRE</v>
      </c>
      <c r="C867" t="s">
        <v>76</v>
      </c>
    </row>
    <row r="868" spans="1:3" x14ac:dyDescent="0.25">
      <c r="A868" t="str">
        <f>"130807993"</f>
        <v>130807993</v>
      </c>
      <c r="B868" t="str">
        <f>"EHPAD ST THOMAS VILLENEUVE"</f>
        <v>EHPAD ST THOMAS VILLENEUVE</v>
      </c>
      <c r="C868" t="s">
        <v>76</v>
      </c>
    </row>
    <row r="869" spans="1:3" x14ac:dyDescent="0.25">
      <c r="A869" t="str">
        <f>"130808009"</f>
        <v>130808009</v>
      </c>
      <c r="B869" t="str">
        <f>"EHPAD LE SOLEIL DU ROUCAS BLANC"</f>
        <v>EHPAD LE SOLEIL DU ROUCAS BLANC</v>
      </c>
      <c r="C869" t="s">
        <v>76</v>
      </c>
    </row>
    <row r="870" spans="1:3" x14ac:dyDescent="0.25">
      <c r="A870" t="str">
        <f>"130808017"</f>
        <v>130808017</v>
      </c>
      <c r="B870" t="str">
        <f>"EHPAD RESIDENCE VERTE PRAIRIE"</f>
        <v>EHPAD RESIDENCE VERTE PRAIRIE</v>
      </c>
      <c r="C870" t="s">
        <v>76</v>
      </c>
    </row>
    <row r="871" spans="1:3" x14ac:dyDescent="0.25">
      <c r="A871" t="str">
        <f>"130808066"</f>
        <v>130808066</v>
      </c>
      <c r="B871" t="str">
        <f>"EHPAD LA BOSQUE D'ANTONELLE"</f>
        <v>EHPAD LA BOSQUE D'ANTONELLE</v>
      </c>
      <c r="C871" t="s">
        <v>76</v>
      </c>
    </row>
    <row r="872" spans="1:3" x14ac:dyDescent="0.25">
      <c r="A872" t="str">
        <f>"130808116"</f>
        <v>130808116</v>
      </c>
      <c r="B872" t="str">
        <f>"EHPAD LE LACYDON"</f>
        <v>EHPAD LE LACYDON</v>
      </c>
      <c r="C872" t="s">
        <v>76</v>
      </c>
    </row>
    <row r="873" spans="1:3" x14ac:dyDescent="0.25">
      <c r="A873" t="str">
        <f>"130808744"</f>
        <v>130808744</v>
      </c>
      <c r="B873" t="str">
        <f>"EHPAD DU CH DE SALON DE PROVENCE"</f>
        <v>EHPAD DU CH DE SALON DE PROVENCE</v>
      </c>
      <c r="C873" t="s">
        <v>76</v>
      </c>
    </row>
    <row r="874" spans="1:3" x14ac:dyDescent="0.25">
      <c r="A874" t="str">
        <f>"130808801"</f>
        <v>130808801</v>
      </c>
      <c r="B874" t="str">
        <f>"EHPAD KORIAN LES LUBERONS"</f>
        <v>EHPAD KORIAN LES LUBERONS</v>
      </c>
      <c r="C874" t="s">
        <v>76</v>
      </c>
    </row>
    <row r="875" spans="1:3" x14ac:dyDescent="0.25">
      <c r="A875" t="str">
        <f>"130809114"</f>
        <v>130809114</v>
      </c>
      <c r="B875" t="str">
        <f>"EHPAD LES OPALINES MARSEILLE"</f>
        <v>EHPAD LES OPALINES MARSEILLE</v>
      </c>
      <c r="C875" t="s">
        <v>76</v>
      </c>
    </row>
    <row r="876" spans="1:3" x14ac:dyDescent="0.25">
      <c r="A876" t="str">
        <f>"130809122"</f>
        <v>130809122</v>
      </c>
      <c r="B876" t="str">
        <f>"EHPAD RESIDENCE L'OUSTAOU"</f>
        <v>EHPAD RESIDENCE L'OUSTAOU</v>
      </c>
      <c r="C876" t="s">
        <v>76</v>
      </c>
    </row>
    <row r="877" spans="1:3" x14ac:dyDescent="0.25">
      <c r="A877" t="str">
        <f>"130809395"</f>
        <v>130809395</v>
      </c>
      <c r="B877" t="str">
        <f>"LES OPALINES"</f>
        <v>LES OPALINES</v>
      </c>
      <c r="C877" t="s">
        <v>76</v>
      </c>
    </row>
    <row r="878" spans="1:3" x14ac:dyDescent="0.25">
      <c r="A878" t="str">
        <f>"130809858"</f>
        <v>130809858</v>
      </c>
      <c r="B878" t="str">
        <f>"EHPAD KORIAN LES ALPILLES"</f>
        <v>EHPAD KORIAN LES ALPILLES</v>
      </c>
      <c r="C878" t="s">
        <v>76</v>
      </c>
    </row>
    <row r="879" spans="1:3" x14ac:dyDescent="0.25">
      <c r="A879" t="str">
        <f>"130809866"</f>
        <v>130809866</v>
      </c>
      <c r="B879" t="str">
        <f>"EHPAD RESIDENCE MARGUERITE"</f>
        <v>EHPAD RESIDENCE MARGUERITE</v>
      </c>
      <c r="C879" t="s">
        <v>76</v>
      </c>
    </row>
    <row r="880" spans="1:3" x14ac:dyDescent="0.25">
      <c r="A880" t="str">
        <f>"130809940"</f>
        <v>130809940</v>
      </c>
      <c r="B880" t="str">
        <f>"EHPAD LES TERRES ROUGES"</f>
        <v>EHPAD LES TERRES ROUGES</v>
      </c>
      <c r="C880" t="s">
        <v>76</v>
      </c>
    </row>
    <row r="881" spans="1:3" x14ac:dyDescent="0.25">
      <c r="A881" t="str">
        <f>"130810401"</f>
        <v>130810401</v>
      </c>
      <c r="B881" t="str">
        <f>"EHPAD CHATEAU DE FONTAINIEU"</f>
        <v>EHPAD CHATEAU DE FONTAINIEU</v>
      </c>
      <c r="C881" t="s">
        <v>76</v>
      </c>
    </row>
    <row r="882" spans="1:3" x14ac:dyDescent="0.25">
      <c r="A882" t="str">
        <f>"130810641"</f>
        <v>130810641</v>
      </c>
      <c r="B882" t="str">
        <f>"EHPAD LE MAS DE LA COTE BLEUE"</f>
        <v>EHPAD LE MAS DE LA COTE BLEUE</v>
      </c>
      <c r="C882" t="s">
        <v>76</v>
      </c>
    </row>
    <row r="883" spans="1:3" x14ac:dyDescent="0.25">
      <c r="A883" t="str">
        <f>"130810765"</f>
        <v>130810765</v>
      </c>
      <c r="B883" t="str">
        <f>"EHPAD RESIDENCE D'AZUR"</f>
        <v>EHPAD RESIDENCE D'AZUR</v>
      </c>
      <c r="C883" t="s">
        <v>76</v>
      </c>
    </row>
    <row r="884" spans="1:3" x14ac:dyDescent="0.25">
      <c r="A884" t="str">
        <f>"130810989"</f>
        <v>130810989</v>
      </c>
      <c r="B884" t="str">
        <f>"EHPAD RESIDENCE MEDICIS"</f>
        <v>EHPAD RESIDENCE MEDICIS</v>
      </c>
      <c r="C884" t="s">
        <v>76</v>
      </c>
    </row>
    <row r="885" spans="1:3" x14ac:dyDescent="0.25">
      <c r="A885" t="str">
        <f>"130811722"</f>
        <v>130811722</v>
      </c>
      <c r="B885" t="str">
        <f>"EHPAD RESIDENCE LES PINS"</f>
        <v>EHPAD RESIDENCE LES PINS</v>
      </c>
      <c r="C885" t="s">
        <v>76</v>
      </c>
    </row>
    <row r="886" spans="1:3" x14ac:dyDescent="0.25">
      <c r="A886" t="str">
        <f>"130811748"</f>
        <v>130811748</v>
      </c>
      <c r="B886" t="str">
        <f>"EHPAD RESIDENCE SAINTE ANNE"</f>
        <v>EHPAD RESIDENCE SAINTE ANNE</v>
      </c>
      <c r="C886" t="s">
        <v>76</v>
      </c>
    </row>
    <row r="887" spans="1:3" x14ac:dyDescent="0.25">
      <c r="A887" t="str">
        <f>"140001066"</f>
        <v>140001066</v>
      </c>
      <c r="B887" t="str">
        <f>"EHPAD 'BELLE COLOMBE' - COLOMBELLES"</f>
        <v>EHPAD 'BELLE COLOMBE' - COLOMBELLES</v>
      </c>
      <c r="C887" t="s">
        <v>69</v>
      </c>
    </row>
    <row r="888" spans="1:3" x14ac:dyDescent="0.25">
      <c r="A888" t="str">
        <f>"140001272"</f>
        <v>140001272</v>
      </c>
      <c r="B888" t="str">
        <f>"EHPAD 'MA MAISON'  - CAEN"</f>
        <v>EHPAD 'MA MAISON'  - CAEN</v>
      </c>
      <c r="C888" t="s">
        <v>69</v>
      </c>
    </row>
    <row r="889" spans="1:3" x14ac:dyDescent="0.25">
      <c r="A889" t="str">
        <f>"140001280"</f>
        <v>140001280</v>
      </c>
      <c r="B889" t="str">
        <f>"EHPAD LAURENCE DE LA PIERRE"</f>
        <v>EHPAD LAURENCE DE LA PIERRE</v>
      </c>
      <c r="C889" t="s">
        <v>69</v>
      </c>
    </row>
    <row r="890" spans="1:3" x14ac:dyDescent="0.25">
      <c r="A890" t="str">
        <f>"140002098"</f>
        <v>140002098</v>
      </c>
      <c r="B890" t="str">
        <f>"EHPAD 'SAINT JACQUES &amp; ST CHRISTOPHE'"</f>
        <v>EHPAD 'SAINT JACQUES &amp; ST CHRISTOPHE'</v>
      </c>
      <c r="C890" t="s">
        <v>69</v>
      </c>
    </row>
    <row r="891" spans="1:3" x14ac:dyDescent="0.25">
      <c r="A891" t="str">
        <f>"140002114"</f>
        <v>140002114</v>
      </c>
      <c r="B891" t="str">
        <f>"EHPAD 'SAINT JOSEPH' - CH FALAISE"</f>
        <v>EHPAD 'SAINT JOSEPH' - CH FALAISE</v>
      </c>
      <c r="C891" t="s">
        <v>69</v>
      </c>
    </row>
    <row r="892" spans="1:3" x14ac:dyDescent="0.25">
      <c r="A892" t="str">
        <f>"140002122"</f>
        <v>140002122</v>
      </c>
      <c r="B892" t="str">
        <f>"EHPAD 'SAINT VINCENT DE PAUL' - SALINE"</f>
        <v>EHPAD 'SAINT VINCENT DE PAUL' - SALINE</v>
      </c>
      <c r="C892" t="s">
        <v>69</v>
      </c>
    </row>
    <row r="893" spans="1:3" x14ac:dyDescent="0.25">
      <c r="A893" t="str">
        <f>"140002130"</f>
        <v>140002130</v>
      </c>
      <c r="B893" t="str">
        <f>"EHPAD LA MAISON DE JEANNE"</f>
        <v>EHPAD LA MAISON DE JEANNE</v>
      </c>
      <c r="C893" t="s">
        <v>69</v>
      </c>
    </row>
    <row r="894" spans="1:3" x14ac:dyDescent="0.25">
      <c r="A894" t="str">
        <f>"140002171"</f>
        <v>140002171</v>
      </c>
      <c r="B894" t="str">
        <f>"EHPAD 'SAINTE MARIE' - VERSON"</f>
        <v>EHPAD 'SAINTE MARIE' - VERSON</v>
      </c>
      <c r="C894" t="s">
        <v>69</v>
      </c>
    </row>
    <row r="895" spans="1:3" x14ac:dyDescent="0.25">
      <c r="A895" t="str">
        <f>"140002288"</f>
        <v>140002288</v>
      </c>
      <c r="B895" t="str">
        <f>"EHPAD 'LA ROSERAIE' -ST SEVER CALVADOS"</f>
        <v>EHPAD 'LA ROSERAIE' -ST SEVER CALVADOS</v>
      </c>
      <c r="C895" t="s">
        <v>69</v>
      </c>
    </row>
    <row r="896" spans="1:3" x14ac:dyDescent="0.25">
      <c r="A896" t="str">
        <f>"140002411"</f>
        <v>140002411</v>
      </c>
      <c r="B896" t="str">
        <f>"EHPAD  LA MESNIE"</f>
        <v>EHPAD  LA MESNIE</v>
      </c>
      <c r="C896" t="s">
        <v>69</v>
      </c>
    </row>
    <row r="897" spans="1:3" x14ac:dyDescent="0.25">
      <c r="A897" t="str">
        <f>"140002791"</f>
        <v>140002791</v>
      </c>
      <c r="B897" t="str">
        <f>"EHPAD 'NOTRE DAME DE LA CHARITE'"</f>
        <v>EHPAD 'NOTRE DAME DE LA CHARITE'</v>
      </c>
      <c r="C897" t="s">
        <v>69</v>
      </c>
    </row>
    <row r="898" spans="1:3" x14ac:dyDescent="0.25">
      <c r="A898" t="str">
        <f>"140002965"</f>
        <v>140002965</v>
      </c>
      <c r="B898" t="str">
        <f>"EHPAD 'MADELEINE LAMY' - CORMELLES"</f>
        <v>EHPAD 'MADELEINE LAMY' - CORMELLES</v>
      </c>
      <c r="C898" t="s">
        <v>69</v>
      </c>
    </row>
    <row r="899" spans="1:3" x14ac:dyDescent="0.25">
      <c r="A899" t="str">
        <f>"140004086"</f>
        <v>140004086</v>
      </c>
      <c r="B899" t="str">
        <f>"EHPAD DE LA COTE FLEURIE  EQUEMAUVILLE"</f>
        <v>EHPAD DE LA COTE FLEURIE  EQUEMAUVILLE</v>
      </c>
      <c r="C899" t="s">
        <v>69</v>
      </c>
    </row>
    <row r="900" spans="1:3" x14ac:dyDescent="0.25">
      <c r="A900" t="str">
        <f>"140004110"</f>
        <v>140004110</v>
      </c>
      <c r="B900" t="str">
        <f>"EHPAD CHAMP FLEURY - CH AUNAY-BAYEUX"</f>
        <v>EHPAD CHAMP FLEURY - CH AUNAY-BAYEUX</v>
      </c>
      <c r="C900" t="s">
        <v>69</v>
      </c>
    </row>
    <row r="901" spans="1:3" x14ac:dyDescent="0.25">
      <c r="A901" t="str">
        <f>"140004268"</f>
        <v>140004268</v>
      </c>
      <c r="B901" t="str">
        <f>"EHPAD 'ASILE DE MARIE'-THURY-HARCOURT"</f>
        <v>EHPAD 'ASILE DE MARIE'-THURY-HARCOURT</v>
      </c>
      <c r="C901" t="s">
        <v>69</v>
      </c>
    </row>
    <row r="902" spans="1:3" x14ac:dyDescent="0.25">
      <c r="A902" t="str">
        <f>"140004433"</f>
        <v>140004433</v>
      </c>
      <c r="B902" t="str">
        <f>"EHPAD DE LA COTE FLEURIE - TROUVILLE"</f>
        <v>EHPAD DE LA COTE FLEURIE - TROUVILLE</v>
      </c>
      <c r="C902" t="s">
        <v>69</v>
      </c>
    </row>
    <row r="903" spans="1:3" x14ac:dyDescent="0.25">
      <c r="A903" t="str">
        <f>"140004441"</f>
        <v>140004441</v>
      </c>
      <c r="B903" t="str">
        <f>"EHPAD 'ALMA' - CH FALAISE"</f>
        <v>EHPAD 'ALMA' - CH FALAISE</v>
      </c>
      <c r="C903" t="s">
        <v>69</v>
      </c>
    </row>
    <row r="904" spans="1:3" x14ac:dyDescent="0.25">
      <c r="A904" t="str">
        <f>"140004573"</f>
        <v>140004573</v>
      </c>
      <c r="B904" t="str">
        <f>"EHPAD 'JF DE ST JEAN' - CAEN"</f>
        <v>EHPAD 'JF DE ST JEAN' - CAEN</v>
      </c>
      <c r="C904" t="s">
        <v>69</v>
      </c>
    </row>
    <row r="905" spans="1:3" x14ac:dyDescent="0.25">
      <c r="A905" t="str">
        <f>"140004615"</f>
        <v>140004615</v>
      </c>
      <c r="B905" t="str">
        <f>"EHPAD RIVABEL' AGE - OUISTREHAM"</f>
        <v>EHPAD RIVABEL' AGE - OUISTREHAM</v>
      </c>
      <c r="C905" t="s">
        <v>69</v>
      </c>
    </row>
    <row r="906" spans="1:3" x14ac:dyDescent="0.25">
      <c r="A906" t="str">
        <f>"140004664"</f>
        <v>140004664</v>
      </c>
      <c r="B906" t="str">
        <f>"EHPAD 'MA PROVIDENCE'"</f>
        <v>EHPAD 'MA PROVIDENCE'</v>
      </c>
      <c r="C906" t="s">
        <v>69</v>
      </c>
    </row>
    <row r="907" spans="1:3" x14ac:dyDescent="0.25">
      <c r="A907" t="str">
        <f>"140004813"</f>
        <v>140004813</v>
      </c>
      <c r="B907" t="str">
        <f>"EHPAD MATHILDE DE NORMANDIE- CAEN"</f>
        <v>EHPAD MATHILDE DE NORMANDIE- CAEN</v>
      </c>
      <c r="C907" t="s">
        <v>69</v>
      </c>
    </row>
    <row r="908" spans="1:3" x14ac:dyDescent="0.25">
      <c r="A908" t="str">
        <f>"140007352"</f>
        <v>140007352</v>
      </c>
      <c r="B908" t="str">
        <f>"EHPAD 'SAINT JOSEPH' - ISIGNY SUR MER"</f>
        <v>EHPAD 'SAINT JOSEPH' - ISIGNY SUR MER</v>
      </c>
      <c r="C908" t="s">
        <v>69</v>
      </c>
    </row>
    <row r="909" spans="1:3" x14ac:dyDescent="0.25">
      <c r="A909" t="str">
        <f>"140007972"</f>
        <v>140007972</v>
      </c>
      <c r="B909" t="str">
        <f>"EHPAD 'LETAVERNIER PITROU'- ARGENCES"</f>
        <v>EHPAD 'LETAVERNIER PITROU'- ARGENCES</v>
      </c>
      <c r="C909" t="s">
        <v>69</v>
      </c>
    </row>
    <row r="910" spans="1:3" x14ac:dyDescent="0.25">
      <c r="A910" t="str">
        <f>"140008012"</f>
        <v>140008012</v>
      </c>
      <c r="B910" t="str">
        <f>"EHPAD SAINT JOSEPH - LIVAROT"</f>
        <v>EHPAD SAINT JOSEPH - LIVAROT</v>
      </c>
      <c r="C910" t="s">
        <v>69</v>
      </c>
    </row>
    <row r="911" spans="1:3" x14ac:dyDescent="0.25">
      <c r="A911" t="str">
        <f>"140008236"</f>
        <v>140008236</v>
      </c>
      <c r="B911" t="str">
        <f>"EHPAD - DOUVRES LA DELIVRANDE"</f>
        <v>EHPAD - DOUVRES LA DELIVRANDE</v>
      </c>
      <c r="C911" t="s">
        <v>69</v>
      </c>
    </row>
    <row r="912" spans="1:3" x14ac:dyDescent="0.25">
      <c r="A912" t="str">
        <f>"140011610"</f>
        <v>140011610</v>
      </c>
      <c r="B912" t="str">
        <f>"EHPAD 'SAINTE MARIE'"</f>
        <v>EHPAD 'SAINTE MARIE'</v>
      </c>
      <c r="C912" t="s">
        <v>69</v>
      </c>
    </row>
    <row r="913" spans="1:3" x14ac:dyDescent="0.25">
      <c r="A913" t="str">
        <f>"140011628"</f>
        <v>140011628</v>
      </c>
      <c r="B913" t="str">
        <f>"EHPAD 'LES OPALINES'"</f>
        <v>EHPAD 'LES OPALINES'</v>
      </c>
      <c r="C913" t="s">
        <v>69</v>
      </c>
    </row>
    <row r="914" spans="1:3" x14ac:dyDescent="0.25">
      <c r="A914" t="str">
        <f>"140012188"</f>
        <v>140012188</v>
      </c>
      <c r="B914" t="str">
        <f>"EHPAD 'LA CHARITÉ'- CHRU - CAEN"</f>
        <v>EHPAD 'LA CHARITÉ'- CHRU - CAEN</v>
      </c>
      <c r="C914" t="s">
        <v>69</v>
      </c>
    </row>
    <row r="915" spans="1:3" x14ac:dyDescent="0.25">
      <c r="A915" t="str">
        <f>"140013806"</f>
        <v>140013806</v>
      </c>
      <c r="B915" t="str">
        <f>"EHPAD LES BALCONS DU PAYS D'AUGE"</f>
        <v>EHPAD LES BALCONS DU PAYS D'AUGE</v>
      </c>
      <c r="C915" t="s">
        <v>69</v>
      </c>
    </row>
    <row r="916" spans="1:3" x14ac:dyDescent="0.25">
      <c r="A916" t="str">
        <f>"140013848"</f>
        <v>140013848</v>
      </c>
      <c r="B916" t="str">
        <f>"EHPAD 'BERNARDIN' - CH FALAISE"</f>
        <v>EHPAD 'BERNARDIN' - CH FALAISE</v>
      </c>
      <c r="C916" t="s">
        <v>69</v>
      </c>
    </row>
    <row r="917" spans="1:3" x14ac:dyDescent="0.25">
      <c r="A917" t="str">
        <f>"140013905"</f>
        <v>140013905</v>
      </c>
      <c r="B917" t="str">
        <f>"EHPAD D'ORBEC"</f>
        <v>EHPAD D'ORBEC</v>
      </c>
      <c r="C917" t="s">
        <v>69</v>
      </c>
    </row>
    <row r="918" spans="1:3" x14ac:dyDescent="0.25">
      <c r="A918" t="str">
        <f>"140013913"</f>
        <v>140013913</v>
      </c>
      <c r="B918" t="str">
        <f>"EHPAD -  CH DE VIRE"</f>
        <v>EHPAD -  CH DE VIRE</v>
      </c>
      <c r="C918" t="s">
        <v>69</v>
      </c>
    </row>
    <row r="919" spans="1:3" x14ac:dyDescent="0.25">
      <c r="A919" t="str">
        <f>"140013921"</f>
        <v>140013921</v>
      </c>
      <c r="B919" t="str">
        <f>"EHPAD - CH AUNAY-BAYEUX"</f>
        <v>EHPAD - CH AUNAY-BAYEUX</v>
      </c>
      <c r="C919" t="s">
        <v>69</v>
      </c>
    </row>
    <row r="920" spans="1:3" x14ac:dyDescent="0.25">
      <c r="A920" t="str">
        <f>"140015074"</f>
        <v>140015074</v>
      </c>
      <c r="B920" t="str">
        <f>"EHPAD L'ELVODY - ST GERMAIN DE TALLEVE"</f>
        <v>EHPAD L'ELVODY - ST GERMAIN DE TALLEVE</v>
      </c>
      <c r="C920" t="s">
        <v>69</v>
      </c>
    </row>
    <row r="921" spans="1:3" x14ac:dyDescent="0.25">
      <c r="A921" t="str">
        <f>"140015108"</f>
        <v>140015108</v>
      </c>
      <c r="B921" t="str">
        <f>"EHPAD BEAU SOLEIL"</f>
        <v>EHPAD BEAU SOLEIL</v>
      </c>
      <c r="C921" t="s">
        <v>69</v>
      </c>
    </row>
    <row r="922" spans="1:3" x14ac:dyDescent="0.25">
      <c r="A922" t="str">
        <f>"140015488"</f>
        <v>140015488</v>
      </c>
      <c r="B922" t="str">
        <f>"EHPAD DU CH DE PONT L'EVEQUE"</f>
        <v>EHPAD DU CH DE PONT L'EVEQUE</v>
      </c>
      <c r="C922" t="s">
        <v>69</v>
      </c>
    </row>
    <row r="923" spans="1:3" x14ac:dyDescent="0.25">
      <c r="A923" t="str">
        <f>"140015827"</f>
        <v>140015827</v>
      </c>
      <c r="B923" t="str">
        <f>"EHPAD LES CHANTERELLES - BRETTEVILLE"</f>
        <v>EHPAD LES CHANTERELLES - BRETTEVILLE</v>
      </c>
      <c r="C923" t="s">
        <v>69</v>
      </c>
    </row>
    <row r="924" spans="1:3" x14ac:dyDescent="0.25">
      <c r="A924" t="str">
        <f>"140015835"</f>
        <v>140015835</v>
      </c>
      <c r="B924" t="str">
        <f>"EHPAD 'LE CLOS DES CEDRES'"</f>
        <v>EHPAD 'LE CLOS DES CEDRES'</v>
      </c>
      <c r="C924" t="s">
        <v>69</v>
      </c>
    </row>
    <row r="925" spans="1:3" x14ac:dyDescent="0.25">
      <c r="A925" t="str">
        <f>"140015983"</f>
        <v>140015983</v>
      </c>
      <c r="B925" t="str">
        <f>"EHPAD DE BLON"</f>
        <v>EHPAD DE BLON</v>
      </c>
      <c r="C925" t="s">
        <v>69</v>
      </c>
    </row>
    <row r="926" spans="1:3" x14ac:dyDescent="0.25">
      <c r="A926" t="str">
        <f>"140015991"</f>
        <v>140015991</v>
      </c>
      <c r="B926" t="str">
        <f>"EHPAD ' SYMPHONIA' - VIRE"</f>
        <v>EHPAD ' SYMPHONIA' - VIRE</v>
      </c>
      <c r="C926" t="s">
        <v>69</v>
      </c>
    </row>
    <row r="927" spans="1:3" x14ac:dyDescent="0.25">
      <c r="A927" t="str">
        <f>"140016015"</f>
        <v>140016015</v>
      </c>
      <c r="B927" t="str">
        <f>"EHPAD RENE CASTEL"</f>
        <v>EHPAD RENE CASTEL</v>
      </c>
      <c r="C927" t="s">
        <v>69</v>
      </c>
    </row>
    <row r="928" spans="1:3" x14ac:dyDescent="0.25">
      <c r="A928" t="str">
        <f>"140016023"</f>
        <v>140016023</v>
      </c>
      <c r="B928" t="str">
        <f>"EHPAD 'RESIDENCES SAINT BENOIT' - CAEN"</f>
        <v>EHPAD 'RESIDENCES SAINT BENOIT' - CAEN</v>
      </c>
      <c r="C928" t="s">
        <v>69</v>
      </c>
    </row>
    <row r="929" spans="1:3" x14ac:dyDescent="0.25">
      <c r="A929" t="str">
        <f>"140016031"</f>
        <v>140016031</v>
      </c>
      <c r="B929" t="str">
        <f>"EHPAD 'LE BEAU SITE' - CLECY"</f>
        <v>EHPAD 'LE BEAU SITE' - CLECY</v>
      </c>
      <c r="C929" t="s">
        <v>69</v>
      </c>
    </row>
    <row r="930" spans="1:3" x14ac:dyDescent="0.25">
      <c r="A930" t="str">
        <f>"140016049"</f>
        <v>140016049</v>
      </c>
      <c r="B930" t="str">
        <f>"EHPAD THALATTA -OUISTREHAM"</f>
        <v>EHPAD THALATTA -OUISTREHAM</v>
      </c>
      <c r="C930" t="s">
        <v>69</v>
      </c>
    </row>
    <row r="931" spans="1:3" x14ac:dyDescent="0.25">
      <c r="A931" t="str">
        <f>"140016056"</f>
        <v>140016056</v>
      </c>
      <c r="B931" t="str">
        <f>"EHPAD 'LES RIVES SAINT NICOLAS' - CAEN"</f>
        <v>EHPAD 'LES RIVES SAINT NICOLAS' - CAEN</v>
      </c>
      <c r="C931" t="s">
        <v>69</v>
      </c>
    </row>
    <row r="932" spans="1:3" x14ac:dyDescent="0.25">
      <c r="A932" t="str">
        <f>"140016098"</f>
        <v>140016098</v>
      </c>
      <c r="B932" t="str">
        <f>"EHPAD 'LES ORCHIDEES' - CAGNY"</f>
        <v>EHPAD 'LES ORCHIDEES' - CAGNY</v>
      </c>
      <c r="C932" t="s">
        <v>69</v>
      </c>
    </row>
    <row r="933" spans="1:3" x14ac:dyDescent="0.25">
      <c r="A933" t="str">
        <f>"140016122"</f>
        <v>140016122</v>
      </c>
      <c r="B933" t="str">
        <f>"EHPAD ' L'HEXAGONE' - TREVIERES"</f>
        <v>EHPAD ' L'HEXAGONE' - TREVIERES</v>
      </c>
      <c r="C933" t="s">
        <v>69</v>
      </c>
    </row>
    <row r="934" spans="1:3" x14ac:dyDescent="0.25">
      <c r="A934" t="str">
        <f>"140016361"</f>
        <v>140016361</v>
      </c>
      <c r="B934" t="str">
        <f>"RESIDENCE 'LA POMMERAIE' - CAMBREMER"</f>
        <v>RESIDENCE 'LA POMMERAIE' - CAMBREMER</v>
      </c>
      <c r="C934" t="s">
        <v>69</v>
      </c>
    </row>
    <row r="935" spans="1:3" x14ac:dyDescent="0.25">
      <c r="A935" t="str">
        <f>"140016379"</f>
        <v>140016379</v>
      </c>
      <c r="B935" t="str">
        <f>"EHPAD KORIAN VILLA BERAT - LISIEUX"</f>
        <v>EHPAD KORIAN VILLA BERAT - LISIEUX</v>
      </c>
      <c r="C935" t="s">
        <v>69</v>
      </c>
    </row>
    <row r="936" spans="1:3" x14ac:dyDescent="0.25">
      <c r="A936" t="str">
        <f>"140016387"</f>
        <v>140016387</v>
      </c>
      <c r="B936" t="str">
        <f>"EHPAD RESIDENCE SAINT GATIEN"</f>
        <v>EHPAD RESIDENCE SAINT GATIEN</v>
      </c>
      <c r="C936" t="s">
        <v>69</v>
      </c>
    </row>
    <row r="937" spans="1:3" x14ac:dyDescent="0.25">
      <c r="A937" t="str">
        <f>"140016395"</f>
        <v>140016395</v>
      </c>
      <c r="B937" t="str">
        <f>"EHPAD 'LES PERVENCHES' - BIEVILLE"</f>
        <v>EHPAD 'LES PERVENCHES' - BIEVILLE</v>
      </c>
      <c r="C937" t="s">
        <v>69</v>
      </c>
    </row>
    <row r="938" spans="1:3" x14ac:dyDescent="0.25">
      <c r="A938" t="str">
        <f>"140016429"</f>
        <v>140016429</v>
      </c>
      <c r="B938" t="str">
        <f>"EHPAD 'LA RÉSIDENCE DU PARC' - THAON"</f>
        <v>EHPAD 'LA RÉSIDENCE DU PARC' - THAON</v>
      </c>
      <c r="C938" t="s">
        <v>69</v>
      </c>
    </row>
    <row r="939" spans="1:3" x14ac:dyDescent="0.25">
      <c r="A939" t="str">
        <f>"140016437"</f>
        <v>140016437</v>
      </c>
      <c r="B939" t="str">
        <f>"EHPAD ' HARMONIE' - MOLAY LITTRY"</f>
        <v>EHPAD ' HARMONIE' - MOLAY LITTRY</v>
      </c>
      <c r="C939" t="s">
        <v>69</v>
      </c>
    </row>
    <row r="940" spans="1:3" x14ac:dyDescent="0.25">
      <c r="A940" t="str">
        <f>"140016452"</f>
        <v>140016452</v>
      </c>
      <c r="B940" t="str">
        <f>"EHPAD LES HAUTS DE L'AURE"</f>
        <v>EHPAD LES HAUTS DE L'AURE</v>
      </c>
      <c r="C940" t="s">
        <v>69</v>
      </c>
    </row>
    <row r="941" spans="1:3" x14ac:dyDescent="0.25">
      <c r="A941" t="str">
        <f>"140016494"</f>
        <v>140016494</v>
      </c>
      <c r="B941" t="str">
        <f>"LES DEMEURES GASTON DE RENTY - BENY B"</f>
        <v>LES DEMEURES GASTON DE RENTY - BENY B</v>
      </c>
      <c r="C941" t="s">
        <v>69</v>
      </c>
    </row>
    <row r="942" spans="1:3" x14ac:dyDescent="0.25">
      <c r="A942" t="str">
        <f>"140016593"</f>
        <v>140016593</v>
      </c>
      <c r="B942" t="str">
        <f>"EHPAD RESIDENCE LA PALMERAIE - CAEN"</f>
        <v>EHPAD RESIDENCE LA PALMERAIE - CAEN</v>
      </c>
      <c r="C942" t="s">
        <v>69</v>
      </c>
    </row>
    <row r="943" spans="1:3" x14ac:dyDescent="0.25">
      <c r="A943" t="str">
        <f>"140016601"</f>
        <v>140016601</v>
      </c>
      <c r="B943" t="str">
        <f>"EHPAD 'LE BELVEDERE'"</f>
        <v>EHPAD 'LE BELVEDERE'</v>
      </c>
      <c r="C943" t="s">
        <v>69</v>
      </c>
    </row>
    <row r="944" spans="1:3" x14ac:dyDescent="0.25">
      <c r="A944" t="str">
        <f>"140016825"</f>
        <v>140016825</v>
      </c>
      <c r="B944" t="str">
        <f>"EHPAD RESIDENCE 'LA DEMI-LUNE' - CAEN"</f>
        <v>EHPAD RESIDENCE 'LA DEMI-LUNE' - CAEN</v>
      </c>
      <c r="C944" t="s">
        <v>69</v>
      </c>
    </row>
    <row r="945" spans="1:3" x14ac:dyDescent="0.25">
      <c r="A945" t="str">
        <f>"140016882"</f>
        <v>140016882</v>
      </c>
      <c r="B945" t="str">
        <f>"EHPAD LES BOUGAINVILLEES - LE BREUIL"</f>
        <v>EHPAD LES BOUGAINVILLEES - LE BREUIL</v>
      </c>
      <c r="C945" t="s">
        <v>69</v>
      </c>
    </row>
    <row r="946" spans="1:3" x14ac:dyDescent="0.25">
      <c r="A946" t="str">
        <f>"140016890"</f>
        <v>140016890</v>
      </c>
      <c r="B946" t="str">
        <f>"EHPAD 'LES TILLEULS' - COURSEULLES"</f>
        <v>EHPAD 'LES TILLEULS' - COURSEULLES</v>
      </c>
      <c r="C946" t="s">
        <v>69</v>
      </c>
    </row>
    <row r="947" spans="1:3" x14ac:dyDescent="0.25">
      <c r="A947" t="str">
        <f>"140016908"</f>
        <v>140016908</v>
      </c>
      <c r="B947" t="str">
        <f>"EHPAD DU VAL-HEROUVILLE-SAINT-CLAIR"</f>
        <v>EHPAD DU VAL-HEROUVILLE-SAINT-CLAIR</v>
      </c>
      <c r="C947" t="s">
        <v>69</v>
      </c>
    </row>
    <row r="948" spans="1:3" x14ac:dyDescent="0.25">
      <c r="A948" t="str">
        <f>"140016916"</f>
        <v>140016916</v>
      </c>
      <c r="B948" t="str">
        <f>"EHPAD 'LES HELIADES' - CABOURG"</f>
        <v>EHPAD 'LES HELIADES' - CABOURG</v>
      </c>
      <c r="C948" t="s">
        <v>69</v>
      </c>
    </row>
    <row r="949" spans="1:3" x14ac:dyDescent="0.25">
      <c r="A949" t="str">
        <f>"140016957"</f>
        <v>140016957</v>
      </c>
      <c r="B949" t="str">
        <f>"EHPAD 'HENRY DUNANT'"</f>
        <v>EHPAD 'HENRY DUNANT'</v>
      </c>
      <c r="C949" t="s">
        <v>69</v>
      </c>
    </row>
    <row r="950" spans="1:3" x14ac:dyDescent="0.25">
      <c r="A950" t="str">
        <f>"140017096"</f>
        <v>140017096</v>
      </c>
      <c r="B950" t="str">
        <f>"EHPAD ANAIS DE MÉZIDON VALLÉE D'AUGE"</f>
        <v>EHPAD ANAIS DE MÉZIDON VALLÉE D'AUGE</v>
      </c>
      <c r="C950" t="s">
        <v>69</v>
      </c>
    </row>
    <row r="951" spans="1:3" x14ac:dyDescent="0.25">
      <c r="A951" t="str">
        <f>"140017211"</f>
        <v>140017211</v>
      </c>
      <c r="B951" t="str">
        <f>"EHPAD 'GUSTAVE COURBET' - CAUMONT"</f>
        <v>EHPAD 'GUSTAVE COURBET' - CAUMONT</v>
      </c>
      <c r="C951" t="s">
        <v>69</v>
      </c>
    </row>
    <row r="952" spans="1:3" x14ac:dyDescent="0.25">
      <c r="A952" t="str">
        <f>"140017476"</f>
        <v>140017476</v>
      </c>
      <c r="B952" t="str">
        <f>"EHPAD 'LE PARC DE LA TOUQUES'"</f>
        <v>EHPAD 'LE PARC DE LA TOUQUES'</v>
      </c>
      <c r="C952" t="s">
        <v>69</v>
      </c>
    </row>
    <row r="953" spans="1:3" x14ac:dyDescent="0.25">
      <c r="A953" t="str">
        <f>"140019530"</f>
        <v>140019530</v>
      </c>
      <c r="B953" t="str">
        <f>"EHPAD 'REINE MATHILDE'"</f>
        <v>EHPAD 'REINE MATHILDE'</v>
      </c>
      <c r="C953" t="s">
        <v>69</v>
      </c>
    </row>
    <row r="954" spans="1:3" x14ac:dyDescent="0.25">
      <c r="A954" t="str">
        <f>"140020728"</f>
        <v>140020728</v>
      </c>
      <c r="B954" t="str">
        <f>"EHPAD LES LYS BLANCS"</f>
        <v>EHPAD LES LYS BLANCS</v>
      </c>
      <c r="C954" t="s">
        <v>69</v>
      </c>
    </row>
    <row r="955" spans="1:3" x14ac:dyDescent="0.25">
      <c r="A955" t="str">
        <f>"140020868"</f>
        <v>140020868</v>
      </c>
      <c r="B955" t="str">
        <f>"EHPAD  'LES ONDINES' - GRANDCAMP-MAISY"</f>
        <v>EHPAD  'LES ONDINES' - GRANDCAMP-MAISY</v>
      </c>
      <c r="C955" t="s">
        <v>69</v>
      </c>
    </row>
    <row r="956" spans="1:3" x14ac:dyDescent="0.25">
      <c r="A956" t="str">
        <f>"140024340"</f>
        <v>140024340</v>
      </c>
      <c r="B956" t="str">
        <f>"EHPAD RESIDENCE 'VALLEE D'AUGE'-DOZULE"</f>
        <v>EHPAD RESIDENCE 'VALLEE D'AUGE'-DOZULE</v>
      </c>
      <c r="C956" t="s">
        <v>69</v>
      </c>
    </row>
    <row r="957" spans="1:3" x14ac:dyDescent="0.25">
      <c r="A957" t="str">
        <f>"140024480"</f>
        <v>140024480</v>
      </c>
      <c r="B957" t="str">
        <f>"EHPAD 'RESIDENCE SOLEIL'"</f>
        <v>EHPAD 'RESIDENCE SOLEIL'</v>
      </c>
      <c r="C957" t="s">
        <v>69</v>
      </c>
    </row>
    <row r="958" spans="1:3" x14ac:dyDescent="0.25">
      <c r="A958" t="str">
        <f>"140024514"</f>
        <v>140024514</v>
      </c>
      <c r="B958" t="str">
        <f>"EHPAD 'LA BARILLIERE' - SAINT DESIR"</f>
        <v>EHPAD 'LA BARILLIERE' - SAINT DESIR</v>
      </c>
      <c r="C958" t="s">
        <v>69</v>
      </c>
    </row>
    <row r="959" spans="1:3" x14ac:dyDescent="0.25">
      <c r="A959" t="str">
        <f>"140024613"</f>
        <v>140024613</v>
      </c>
      <c r="B959" t="str">
        <f>"EHPAD RESIDENCE MATHILDE - BAYEUX"</f>
        <v>EHPAD RESIDENCE MATHILDE - BAYEUX</v>
      </c>
      <c r="C959" t="s">
        <v>69</v>
      </c>
    </row>
    <row r="960" spans="1:3" x14ac:dyDescent="0.25">
      <c r="A960" t="str">
        <f>"140024738"</f>
        <v>140024738</v>
      </c>
      <c r="B960" t="str">
        <f>"EHPAD 'RÉSIDENCE MÉDICIS' - CARPIQUET"</f>
        <v>EHPAD 'RÉSIDENCE MÉDICIS' - CARPIQUET</v>
      </c>
      <c r="C960" t="s">
        <v>69</v>
      </c>
    </row>
    <row r="961" spans="1:3" x14ac:dyDescent="0.25">
      <c r="A961" t="str">
        <f>"140025172"</f>
        <v>140025172</v>
      </c>
      <c r="B961" t="str">
        <f>"EHPAD 'RÉSIDENCE BEAULIEU' - CAEN"</f>
        <v>EHPAD 'RÉSIDENCE BEAULIEU' - CAEN</v>
      </c>
      <c r="C961" t="s">
        <v>69</v>
      </c>
    </row>
    <row r="962" spans="1:3" x14ac:dyDescent="0.25">
      <c r="A962" t="str">
        <f>"140025560"</f>
        <v>140025560</v>
      </c>
      <c r="B962" t="str">
        <f>"EHPAD 'LE JARDIN D'ELSA' - IFS"</f>
        <v>EHPAD 'LE JARDIN D'ELSA' - IFS</v>
      </c>
      <c r="C962" t="s">
        <v>69</v>
      </c>
    </row>
    <row r="963" spans="1:3" x14ac:dyDescent="0.25">
      <c r="A963" t="str">
        <f>"140026246"</f>
        <v>140026246</v>
      </c>
      <c r="B963" t="str">
        <f>"EHPAD LES RIVES DE L'ODON - EVRECY"</f>
        <v>EHPAD LES RIVES DE L'ODON - EVRECY</v>
      </c>
      <c r="C963" t="s">
        <v>69</v>
      </c>
    </row>
    <row r="964" spans="1:3" x14ac:dyDescent="0.25">
      <c r="A964" t="str">
        <f>"140026261"</f>
        <v>140026261</v>
      </c>
      <c r="B964" t="str">
        <f>"EHPAD LES DEUX FONTAINES"</f>
        <v>EHPAD LES DEUX FONTAINES</v>
      </c>
      <c r="C964" t="s">
        <v>69</v>
      </c>
    </row>
    <row r="965" spans="1:3" x14ac:dyDescent="0.25">
      <c r="A965" t="str">
        <f>"140026667"</f>
        <v>140026667</v>
      </c>
      <c r="B965" t="str">
        <f>"EHPAD LA SOURCE - MONDEVILLE"</f>
        <v>EHPAD LA SOURCE - MONDEVILLE</v>
      </c>
      <c r="C965" t="s">
        <v>69</v>
      </c>
    </row>
    <row r="966" spans="1:3" x14ac:dyDescent="0.25">
      <c r="A966" t="str">
        <f>"140026758"</f>
        <v>140026758</v>
      </c>
      <c r="B966" t="str">
        <f>"EHPAD MAISON DU COUDRIER - LOUVIGNY"</f>
        <v>EHPAD MAISON DU COUDRIER - LOUVIGNY</v>
      </c>
      <c r="C966" t="s">
        <v>69</v>
      </c>
    </row>
    <row r="967" spans="1:3" x14ac:dyDescent="0.25">
      <c r="A967" t="str">
        <f>"140026998"</f>
        <v>140026998</v>
      </c>
      <c r="B967" t="str">
        <f>"EHPAD RESIDENCE EMERA - LUC SUR MER"</f>
        <v>EHPAD RESIDENCE EMERA - LUC SUR MER</v>
      </c>
      <c r="C967" t="s">
        <v>69</v>
      </c>
    </row>
    <row r="968" spans="1:3" x14ac:dyDescent="0.25">
      <c r="A968" t="str">
        <f>"140027012"</f>
        <v>140027012</v>
      </c>
      <c r="B968" t="str">
        <f>"EHPAD RESIDENCE NORMANDIA - TROUVILLE"</f>
        <v>EHPAD RESIDENCE NORMANDIA - TROUVILLE</v>
      </c>
      <c r="C968" t="s">
        <v>69</v>
      </c>
    </row>
    <row r="969" spans="1:3" x14ac:dyDescent="0.25">
      <c r="A969" t="str">
        <f>"140027020"</f>
        <v>140027020</v>
      </c>
      <c r="B969" t="str">
        <f>"EHPAD RESIDENCE WESTALIA - COURSEULLES"</f>
        <v>EHPAD RESIDENCE WESTALIA - COURSEULLES</v>
      </c>
      <c r="C969" t="s">
        <v>69</v>
      </c>
    </row>
    <row r="970" spans="1:3" x14ac:dyDescent="0.25">
      <c r="A970" t="str">
        <f>"140027038"</f>
        <v>140027038</v>
      </c>
      <c r="B970" t="str">
        <f>"EHPAD - HEROUVILLE SAINT CLAIR"</f>
        <v>EHPAD - HEROUVILLE SAINT CLAIR</v>
      </c>
      <c r="C970" t="s">
        <v>69</v>
      </c>
    </row>
    <row r="971" spans="1:3" x14ac:dyDescent="0.25">
      <c r="A971" t="str">
        <f>"140027053"</f>
        <v>140027053</v>
      </c>
      <c r="B971" t="str">
        <f>"EHPAD - RESIDENCE EMERAUDE"</f>
        <v>EHPAD - RESIDENCE EMERAUDE</v>
      </c>
      <c r="C971" t="s">
        <v>69</v>
      </c>
    </row>
    <row r="972" spans="1:3" x14ac:dyDescent="0.25">
      <c r="A972" t="str">
        <f>"140027079"</f>
        <v>140027079</v>
      </c>
      <c r="B972" t="str">
        <f>"EHPAD RESIDENCE TOPAZE - DOZULE"</f>
        <v>EHPAD RESIDENCE TOPAZE - DOZULE</v>
      </c>
      <c r="C972" t="s">
        <v>69</v>
      </c>
    </row>
    <row r="973" spans="1:3" x14ac:dyDescent="0.25">
      <c r="A973" t="str">
        <f>"140027418"</f>
        <v>140027418</v>
      </c>
      <c r="B973" t="str">
        <f>"EHPAD L'OREE DU GOLF - EPRON"</f>
        <v>EHPAD L'OREE DU GOLF - EPRON</v>
      </c>
      <c r="C973" t="s">
        <v>69</v>
      </c>
    </row>
    <row r="974" spans="1:3" x14ac:dyDescent="0.25">
      <c r="A974" t="str">
        <f>"140027459"</f>
        <v>140027459</v>
      </c>
      <c r="B974" t="str">
        <f>"EHPAD - POTIGNY"</f>
        <v>EHPAD - POTIGNY</v>
      </c>
      <c r="C974" t="s">
        <v>69</v>
      </c>
    </row>
    <row r="975" spans="1:3" x14ac:dyDescent="0.25">
      <c r="A975" t="str">
        <f>"140028010"</f>
        <v>140028010</v>
      </c>
      <c r="B975" t="str">
        <f>"EHPAD LE FLORILEGE - FLEURY SUR ORNE"</f>
        <v>EHPAD LE FLORILEGE - FLEURY SUR ORNE</v>
      </c>
      <c r="C975" t="s">
        <v>69</v>
      </c>
    </row>
    <row r="976" spans="1:3" x14ac:dyDescent="0.25">
      <c r="A976" t="str">
        <f>"140030198"</f>
        <v>140030198</v>
      </c>
      <c r="B976" t="str">
        <f>"EHPAD LES EMBRUNS - PORT EN BESSIN"</f>
        <v>EHPAD LES EMBRUNS - PORT EN BESSIN</v>
      </c>
      <c r="C976" t="s">
        <v>69</v>
      </c>
    </row>
    <row r="977" spans="1:3" x14ac:dyDescent="0.25">
      <c r="A977" t="str">
        <f>"150000446"</f>
        <v>150000446</v>
      </c>
      <c r="B977" t="str">
        <f>"EHPAD SAINT- JOSEPH"</f>
        <v>EHPAD SAINT- JOSEPH</v>
      </c>
      <c r="C977" t="s">
        <v>61</v>
      </c>
    </row>
    <row r="978" spans="1:3" x14ac:dyDescent="0.25">
      <c r="A978" t="str">
        <f>"150000909"</f>
        <v>150000909</v>
      </c>
      <c r="B978" t="str">
        <f>"EHPAD RESIDENCE LES PRES VERTS"</f>
        <v>EHPAD RESIDENCE LES PRES VERTS</v>
      </c>
      <c r="C978" t="s">
        <v>61</v>
      </c>
    </row>
    <row r="979" spans="1:3" x14ac:dyDescent="0.25">
      <c r="A979" t="str">
        <f>"150002418"</f>
        <v>150002418</v>
      </c>
      <c r="B979" t="str">
        <f>"EHPAD DU PAYS VERT DU CH DE MAURIAC"</f>
        <v>EHPAD DU PAYS VERT DU CH DE MAURIAC</v>
      </c>
      <c r="C979" t="s">
        <v>61</v>
      </c>
    </row>
    <row r="980" spans="1:3" x14ac:dyDescent="0.25">
      <c r="A980" t="str">
        <f>"150002426"</f>
        <v>150002426</v>
      </c>
      <c r="B980" t="str">
        <f>"EHPAD 'RESIDENCE DE LA CERE'"</f>
        <v>EHPAD 'RESIDENCE DE LA CERE'</v>
      </c>
      <c r="C980" t="s">
        <v>61</v>
      </c>
    </row>
    <row r="981" spans="1:3" x14ac:dyDescent="0.25">
      <c r="A981" t="str">
        <f>"150002434"</f>
        <v>150002434</v>
      </c>
      <c r="B981" t="str">
        <f>"EHPAD LA FORET"</f>
        <v>EHPAD LA FORET</v>
      </c>
      <c r="C981" t="s">
        <v>61</v>
      </c>
    </row>
    <row r="982" spans="1:3" x14ac:dyDescent="0.25">
      <c r="A982" t="str">
        <f>"150002459"</f>
        <v>150002459</v>
      </c>
      <c r="B982" t="str">
        <f>"EHPAD DU CH DE SAINT-FLOUR"</f>
        <v>EHPAD DU CH DE SAINT-FLOUR</v>
      </c>
      <c r="C982" t="s">
        <v>61</v>
      </c>
    </row>
    <row r="983" spans="1:3" x14ac:dyDescent="0.25">
      <c r="A983" t="str">
        <f>"150002467"</f>
        <v>150002467</v>
      </c>
      <c r="B983" t="str">
        <f>"EHPAD 'HAUT MALLET'"</f>
        <v>EHPAD 'HAUT MALLET'</v>
      </c>
      <c r="C983" t="s">
        <v>61</v>
      </c>
    </row>
    <row r="984" spans="1:3" x14ac:dyDescent="0.25">
      <c r="A984" t="str">
        <f>"150002699"</f>
        <v>150002699</v>
      </c>
      <c r="B984" t="str">
        <f>"EHPAD MAISONNEE LE CAP BLANC"</f>
        <v>EHPAD MAISONNEE LE CAP BLANC</v>
      </c>
      <c r="C984" t="s">
        <v>61</v>
      </c>
    </row>
    <row r="985" spans="1:3" x14ac:dyDescent="0.25">
      <c r="A985" t="str">
        <f>"150002715"</f>
        <v>150002715</v>
      </c>
      <c r="B985" t="str">
        <f>"EHPAD 'LES VAYSSES'"</f>
        <v>EHPAD 'LES VAYSSES'</v>
      </c>
      <c r="C985" t="s">
        <v>61</v>
      </c>
    </row>
    <row r="986" spans="1:3" x14ac:dyDescent="0.25">
      <c r="A986" t="str">
        <f>"150002822"</f>
        <v>150002822</v>
      </c>
      <c r="B986" t="str">
        <f>"EHPAD 'JEAN LIANDIER'"</f>
        <v>EHPAD 'JEAN LIANDIER'</v>
      </c>
      <c r="C986" t="s">
        <v>61</v>
      </c>
    </row>
    <row r="987" spans="1:3" x14ac:dyDescent="0.25">
      <c r="A987" t="str">
        <f>"150780161"</f>
        <v>150780161</v>
      </c>
      <c r="B987" t="str">
        <f>"EHPAD PIERRE JARRY"</f>
        <v>EHPAD PIERRE JARRY</v>
      </c>
      <c r="C987" t="s">
        <v>61</v>
      </c>
    </row>
    <row r="988" spans="1:3" x14ac:dyDescent="0.25">
      <c r="A988" t="str">
        <f>"150780179"</f>
        <v>150780179</v>
      </c>
      <c r="B988" t="str">
        <f>"EHPAD LES CHAMPS FLEURIS"</f>
        <v>EHPAD LES CHAMPS FLEURIS</v>
      </c>
      <c r="C988" t="s">
        <v>61</v>
      </c>
    </row>
    <row r="989" spans="1:3" x14ac:dyDescent="0.25">
      <c r="A989" t="str">
        <f>"150780195"</f>
        <v>150780195</v>
      </c>
      <c r="B989" t="str">
        <f>"EHPAD 'VILLA SAINTE MARIE'"</f>
        <v>EHPAD 'VILLA SAINTE MARIE'</v>
      </c>
      <c r="C989" t="s">
        <v>61</v>
      </c>
    </row>
    <row r="990" spans="1:3" x14ac:dyDescent="0.25">
      <c r="A990" t="str">
        <f>"150780336"</f>
        <v>150780336</v>
      </c>
      <c r="B990" t="str">
        <f>"EHPAD 'LA LOUVIERE'"</f>
        <v>EHPAD 'LA LOUVIERE'</v>
      </c>
      <c r="C990" t="s">
        <v>61</v>
      </c>
    </row>
    <row r="991" spans="1:3" x14ac:dyDescent="0.25">
      <c r="A991" t="str">
        <f>"150780369"</f>
        <v>150780369</v>
      </c>
      <c r="B991" t="str">
        <f>"EHPAD LA LIMAGNE"</f>
        <v>EHPAD LA LIMAGNE</v>
      </c>
      <c r="C991" t="s">
        <v>61</v>
      </c>
    </row>
    <row r="992" spans="1:3" x14ac:dyDescent="0.25">
      <c r="A992" t="str">
        <f>"150780385"</f>
        <v>150780385</v>
      </c>
      <c r="B992" t="str">
        <f>"EHPAD SAINTE ELISABETH"</f>
        <v>EHPAD SAINTE ELISABETH</v>
      </c>
      <c r="C992" t="s">
        <v>61</v>
      </c>
    </row>
    <row r="993" spans="1:3" x14ac:dyDescent="0.25">
      <c r="A993" t="str">
        <f>"150780401"</f>
        <v>150780401</v>
      </c>
      <c r="B993" t="str">
        <f>"EHPAD TIBLE"</f>
        <v>EHPAD TIBLE</v>
      </c>
      <c r="C993" t="s">
        <v>61</v>
      </c>
    </row>
    <row r="994" spans="1:3" x14ac:dyDescent="0.25">
      <c r="A994" t="str">
        <f>"150780427"</f>
        <v>150780427</v>
      </c>
      <c r="B994" t="str">
        <f>"EHPAD 'AVININ JOHANNEL'"</f>
        <v>EHPAD 'AVININ JOHANNEL'</v>
      </c>
      <c r="C994" t="s">
        <v>61</v>
      </c>
    </row>
    <row r="995" spans="1:3" x14ac:dyDescent="0.25">
      <c r="A995" t="str">
        <f>"150780484"</f>
        <v>150780484</v>
      </c>
      <c r="B995" t="str">
        <f>"EHPAD 'ROGER JALENQUES'"</f>
        <v>EHPAD 'ROGER JALENQUES'</v>
      </c>
      <c r="C995" t="s">
        <v>61</v>
      </c>
    </row>
    <row r="996" spans="1:3" x14ac:dyDescent="0.25">
      <c r="A996" t="str">
        <f>"150780518"</f>
        <v>150780518</v>
      </c>
      <c r="B996" t="str">
        <f>"EHPAD 'RESIDENCE L'ALAGNON'"</f>
        <v>EHPAD 'RESIDENCE L'ALAGNON'</v>
      </c>
      <c r="C996" t="s">
        <v>61</v>
      </c>
    </row>
    <row r="997" spans="1:3" x14ac:dyDescent="0.25">
      <c r="A997" t="str">
        <f>"150780526"</f>
        <v>150780526</v>
      </c>
      <c r="B997" t="str">
        <f>"EHPAD LA MAINADA"</f>
        <v>EHPAD LA MAINADA</v>
      </c>
      <c r="C997" t="s">
        <v>61</v>
      </c>
    </row>
    <row r="998" spans="1:3" x14ac:dyDescent="0.25">
      <c r="A998" t="str">
        <f>"150780534"</f>
        <v>150780534</v>
      </c>
      <c r="B998" t="str">
        <f>"EHPAD LE BOCAGE"</f>
        <v>EHPAD LE BOCAGE</v>
      </c>
      <c r="C998" t="s">
        <v>61</v>
      </c>
    </row>
    <row r="999" spans="1:3" x14ac:dyDescent="0.25">
      <c r="A999" t="str">
        <f>"150780575"</f>
        <v>150780575</v>
      </c>
      <c r="B999" t="str">
        <f>"EHPAD 'BRUN VERGEADE'"</f>
        <v>EHPAD 'BRUN VERGEADE'</v>
      </c>
      <c r="C999" t="s">
        <v>61</v>
      </c>
    </row>
    <row r="1000" spans="1:3" x14ac:dyDescent="0.25">
      <c r="A1000" t="str">
        <f>"150780641"</f>
        <v>150780641</v>
      </c>
      <c r="B1000" t="str">
        <f>"EHPAD 'JEAN MEYRONNEINC'"</f>
        <v>EHPAD 'JEAN MEYRONNEINC'</v>
      </c>
      <c r="C1000" t="s">
        <v>61</v>
      </c>
    </row>
    <row r="1001" spans="1:3" x14ac:dyDescent="0.25">
      <c r="A1001" t="str">
        <f>"150780674"</f>
        <v>150780674</v>
      </c>
      <c r="B1001" t="str">
        <f>"EHPAD DE SAINT URCIZE"</f>
        <v>EHPAD DE SAINT URCIZE</v>
      </c>
      <c r="C1001" t="s">
        <v>61</v>
      </c>
    </row>
    <row r="1002" spans="1:3" x14ac:dyDescent="0.25">
      <c r="A1002" t="str">
        <f>"150780682"</f>
        <v>150780682</v>
      </c>
      <c r="B1002" t="str">
        <f>"EHPAD 'LIZET'"</f>
        <v>EHPAD 'LIZET'</v>
      </c>
      <c r="C1002" t="s">
        <v>61</v>
      </c>
    </row>
    <row r="1003" spans="1:3" x14ac:dyDescent="0.25">
      <c r="A1003" t="str">
        <f>"150780724"</f>
        <v>150780724</v>
      </c>
      <c r="B1003" t="str">
        <f>"EHPAD 'PIERRE VALADOU'"</f>
        <v>EHPAD 'PIERRE VALADOU'</v>
      </c>
      <c r="C1003" t="s">
        <v>61</v>
      </c>
    </row>
    <row r="1004" spans="1:3" x14ac:dyDescent="0.25">
      <c r="A1004" t="str">
        <f>"150781904"</f>
        <v>150781904</v>
      </c>
      <c r="B1004" t="str">
        <f>"EHPAD 'L'OREE DU BOIS'"</f>
        <v>EHPAD 'L'OREE DU BOIS'</v>
      </c>
      <c r="C1004" t="s">
        <v>61</v>
      </c>
    </row>
    <row r="1005" spans="1:3" x14ac:dyDescent="0.25">
      <c r="A1005" t="str">
        <f>"150782001"</f>
        <v>150782001</v>
      </c>
      <c r="B1005" t="str">
        <f>"EHPAD LE CHATEAU"</f>
        <v>EHPAD LE CHATEAU</v>
      </c>
      <c r="C1005" t="s">
        <v>61</v>
      </c>
    </row>
    <row r="1006" spans="1:3" x14ac:dyDescent="0.25">
      <c r="A1006" t="str">
        <f>"150782027"</f>
        <v>150782027</v>
      </c>
      <c r="B1006" t="str">
        <f>"EHPAD LOUIS TAURANT"</f>
        <v>EHPAD LOUIS TAURANT</v>
      </c>
      <c r="C1006" t="s">
        <v>61</v>
      </c>
    </row>
    <row r="1007" spans="1:3" x14ac:dyDescent="0.25">
      <c r="A1007" t="str">
        <f>"150782118"</f>
        <v>150782118</v>
      </c>
      <c r="B1007" t="str">
        <f>"EHPAD 'LA VIGIERE'"</f>
        <v>EHPAD 'LA VIGIERE'</v>
      </c>
      <c r="C1007" t="s">
        <v>61</v>
      </c>
    </row>
    <row r="1008" spans="1:3" x14ac:dyDescent="0.25">
      <c r="A1008" t="str">
        <f>"150782282"</f>
        <v>150782282</v>
      </c>
      <c r="B1008" t="str">
        <f>"EHPAD 'LES JARDINS DE ST ILLIDE'"</f>
        <v>EHPAD 'LES JARDINS DE ST ILLIDE'</v>
      </c>
      <c r="C1008" t="s">
        <v>61</v>
      </c>
    </row>
    <row r="1009" spans="1:3" x14ac:dyDescent="0.25">
      <c r="A1009" t="str">
        <f>"150782548"</f>
        <v>150782548</v>
      </c>
      <c r="B1009" t="str">
        <f>"EHPAD CH DE CONDAT EN FENIERS"</f>
        <v>EHPAD CH DE CONDAT EN FENIERS</v>
      </c>
      <c r="C1009" t="s">
        <v>61</v>
      </c>
    </row>
    <row r="1010" spans="1:3" x14ac:dyDescent="0.25">
      <c r="A1010" t="str">
        <f>"150782555"</f>
        <v>150782555</v>
      </c>
      <c r="B1010" t="str">
        <f>"EHPAD CH DE MURAT"</f>
        <v>EHPAD CH DE MURAT</v>
      </c>
      <c r="C1010" t="s">
        <v>61</v>
      </c>
    </row>
    <row r="1011" spans="1:3" x14ac:dyDescent="0.25">
      <c r="A1011" t="str">
        <f>"150782563"</f>
        <v>150782563</v>
      </c>
      <c r="B1011" t="str">
        <f>"EHPAD DU CH HENRI MONDOR - AURILLAC"</f>
        <v>EHPAD DU CH HENRI MONDOR - AURILLAC</v>
      </c>
      <c r="C1011" t="s">
        <v>61</v>
      </c>
    </row>
    <row r="1012" spans="1:3" x14ac:dyDescent="0.25">
      <c r="A1012" t="str">
        <f>"150782712"</f>
        <v>150782712</v>
      </c>
      <c r="B1012" t="str">
        <f>"EHPAD RESIDENCE DE L'ARTENSE"</f>
        <v>EHPAD RESIDENCE DE L'ARTENSE</v>
      </c>
      <c r="C1012" t="s">
        <v>61</v>
      </c>
    </row>
    <row r="1013" spans="1:3" x14ac:dyDescent="0.25">
      <c r="A1013" t="str">
        <f>"150782738"</f>
        <v>150782738</v>
      </c>
      <c r="B1013" t="str">
        <f>"EHPAD DE RAULHAC"</f>
        <v>EHPAD DE RAULHAC</v>
      </c>
      <c r="C1013" t="s">
        <v>61</v>
      </c>
    </row>
    <row r="1014" spans="1:3" x14ac:dyDescent="0.25">
      <c r="A1014" t="str">
        <f>"150783025"</f>
        <v>150783025</v>
      </c>
      <c r="B1014" t="str">
        <f>"EHPAD LE FLORET"</f>
        <v>EHPAD LE FLORET</v>
      </c>
      <c r="C1014" t="s">
        <v>61</v>
      </c>
    </row>
    <row r="1015" spans="1:3" x14ac:dyDescent="0.25">
      <c r="A1015" t="str">
        <f>"150783116"</f>
        <v>150783116</v>
      </c>
      <c r="B1015" t="str">
        <f>"EHPAD RESIDENCE DE COISSY"</f>
        <v>EHPAD RESIDENCE DE COISSY</v>
      </c>
      <c r="C1015" t="s">
        <v>61</v>
      </c>
    </row>
    <row r="1016" spans="1:3" x14ac:dyDescent="0.25">
      <c r="A1016" t="str">
        <f>"150783702"</f>
        <v>150783702</v>
      </c>
      <c r="B1016" t="str">
        <f>"EHPAD 'LA SUMENE'"</f>
        <v>EHPAD 'LA SUMENE'</v>
      </c>
      <c r="C1016" t="s">
        <v>61</v>
      </c>
    </row>
    <row r="1017" spans="1:3" x14ac:dyDescent="0.25">
      <c r="A1017" t="str">
        <f>"160000527"</f>
        <v>160000527</v>
      </c>
      <c r="B1017" t="str">
        <f>"EHPAD MONTBRON"</f>
        <v>EHPAD MONTBRON</v>
      </c>
      <c r="C1017" t="s">
        <v>70</v>
      </c>
    </row>
    <row r="1018" spans="1:3" x14ac:dyDescent="0.25">
      <c r="A1018" t="str">
        <f>"160002085"</f>
        <v>160002085</v>
      </c>
      <c r="B1018" t="str">
        <f>"EHPAD HABRIOUX"</f>
        <v>EHPAD HABRIOUX</v>
      </c>
      <c r="C1018" t="s">
        <v>70</v>
      </c>
    </row>
    <row r="1019" spans="1:3" x14ac:dyDescent="0.25">
      <c r="A1019" t="str">
        <f>"160002093"</f>
        <v>160002093</v>
      </c>
      <c r="B1019" t="str">
        <f>"EHPAD LES MINIMES"</f>
        <v>EHPAD LES MINIMES</v>
      </c>
      <c r="C1019" t="s">
        <v>70</v>
      </c>
    </row>
    <row r="1020" spans="1:3" x14ac:dyDescent="0.25">
      <c r="A1020" t="str">
        <f>"160002101"</f>
        <v>160002101</v>
      </c>
      <c r="B1020" t="str">
        <f>"EHPAD - LES DEUX TOURS"</f>
        <v>EHPAD - LES DEUX TOURS</v>
      </c>
      <c r="C1020" t="s">
        <v>70</v>
      </c>
    </row>
    <row r="1021" spans="1:3" x14ac:dyDescent="0.25">
      <c r="A1021" t="str">
        <f>"160002119"</f>
        <v>160002119</v>
      </c>
      <c r="B1021" t="str">
        <f>"EHPAD TALLEYRAND"</f>
        <v>EHPAD TALLEYRAND</v>
      </c>
      <c r="C1021" t="s">
        <v>70</v>
      </c>
    </row>
    <row r="1022" spans="1:3" x14ac:dyDescent="0.25">
      <c r="A1022" t="str">
        <f>"160002127"</f>
        <v>160002127</v>
      </c>
      <c r="B1022" t="str">
        <f>"EHPAD CH ANGOULEME - SITE GD PONTOUVRE"</f>
        <v>EHPAD CH ANGOULEME - SITE GD PONTOUVRE</v>
      </c>
      <c r="C1022" t="s">
        <v>70</v>
      </c>
    </row>
    <row r="1023" spans="1:3" x14ac:dyDescent="0.25">
      <c r="A1023" t="str">
        <f>"160002143"</f>
        <v>160002143</v>
      </c>
      <c r="B1023" t="str">
        <f>"EHPAD - RESIDENCE MBV CLAIRBOIS"</f>
        <v>EHPAD - RESIDENCE MBV CLAIRBOIS</v>
      </c>
      <c r="C1023" t="s">
        <v>70</v>
      </c>
    </row>
    <row r="1024" spans="1:3" x14ac:dyDescent="0.25">
      <c r="A1024" t="str">
        <f>"160002242"</f>
        <v>160002242</v>
      </c>
      <c r="B1024" t="str">
        <f>"EHPAD RABY-BARBOTEAU"</f>
        <v>EHPAD RABY-BARBOTEAU</v>
      </c>
      <c r="C1024" t="s">
        <v>70</v>
      </c>
    </row>
    <row r="1025" spans="1:3" x14ac:dyDescent="0.25">
      <c r="A1025" t="str">
        <f>"160002580"</f>
        <v>160002580</v>
      </c>
      <c r="B1025" t="str">
        <f>"EHPAD - LES JARDINS D'ANTAN"</f>
        <v>EHPAD - LES JARDINS D'ANTAN</v>
      </c>
      <c r="C1025" t="s">
        <v>70</v>
      </c>
    </row>
    <row r="1026" spans="1:3" x14ac:dyDescent="0.25">
      <c r="A1026" t="str">
        <f>"160003703"</f>
        <v>160003703</v>
      </c>
      <c r="B1026" t="str">
        <f>"EHPAD DU PRE DE L'ETANG"</f>
        <v>EHPAD DU PRE DE L'ETANG</v>
      </c>
      <c r="C1026" t="s">
        <v>70</v>
      </c>
    </row>
    <row r="1027" spans="1:3" x14ac:dyDescent="0.25">
      <c r="A1027" t="str">
        <f>"160003745"</f>
        <v>160003745</v>
      </c>
      <c r="B1027" t="str">
        <f>"EHPAD GAMBY"</f>
        <v>EHPAD GAMBY</v>
      </c>
      <c r="C1027" t="s">
        <v>70</v>
      </c>
    </row>
    <row r="1028" spans="1:3" x14ac:dyDescent="0.25">
      <c r="A1028" t="str">
        <f>"160003752"</f>
        <v>160003752</v>
      </c>
      <c r="B1028" t="str">
        <f>"EHPAD - BERGERON GRENIER"</f>
        <v>EHPAD - BERGERON GRENIER</v>
      </c>
      <c r="C1028" t="s">
        <v>70</v>
      </c>
    </row>
    <row r="1029" spans="1:3" x14ac:dyDescent="0.25">
      <c r="A1029" t="str">
        <f>"160003760"</f>
        <v>160003760</v>
      </c>
      <c r="B1029" t="str">
        <f>"EHPAD RES MUTUALISTE LES CARREAUX"</f>
        <v>EHPAD RES MUTUALISTE LES CARREAUX</v>
      </c>
      <c r="C1029" t="s">
        <v>70</v>
      </c>
    </row>
    <row r="1030" spans="1:3" x14ac:dyDescent="0.25">
      <c r="A1030" t="str">
        <f>"160003919"</f>
        <v>160003919</v>
      </c>
      <c r="B1030" t="str">
        <f>"EHPAD BANDIAT TARDOIRE"</f>
        <v>EHPAD BANDIAT TARDOIRE</v>
      </c>
      <c r="C1030" t="s">
        <v>70</v>
      </c>
    </row>
    <row r="1031" spans="1:3" x14ac:dyDescent="0.25">
      <c r="A1031" t="str">
        <f>"160004099"</f>
        <v>160004099</v>
      </c>
      <c r="B1031" t="str">
        <f>"PUV LE PRIEURE"</f>
        <v>PUV LE PRIEURE</v>
      </c>
      <c r="C1031" t="s">
        <v>70</v>
      </c>
    </row>
    <row r="1032" spans="1:3" x14ac:dyDescent="0.25">
      <c r="A1032" t="str">
        <f>"160004115"</f>
        <v>160004115</v>
      </c>
      <c r="B1032" t="str">
        <f>"EHPAD - COS LES FINS BOIS"</f>
        <v>EHPAD - COS LES FINS BOIS</v>
      </c>
      <c r="C1032" t="s">
        <v>70</v>
      </c>
    </row>
    <row r="1033" spans="1:3" x14ac:dyDescent="0.25">
      <c r="A1033" t="str">
        <f>"160004123"</f>
        <v>160004123</v>
      </c>
      <c r="B1033" t="str">
        <f>"EHPAD SAINTE-MARIE"</f>
        <v>EHPAD SAINTE-MARIE</v>
      </c>
      <c r="C1033" t="s">
        <v>70</v>
      </c>
    </row>
    <row r="1034" spans="1:3" x14ac:dyDescent="0.25">
      <c r="A1034" t="str">
        <f>"160004131"</f>
        <v>160004131</v>
      </c>
      <c r="B1034" t="str">
        <f>"EHPAD SAINTE MARTHE"</f>
        <v>EHPAD SAINTE MARTHE</v>
      </c>
      <c r="C1034" t="s">
        <v>70</v>
      </c>
    </row>
    <row r="1035" spans="1:3" x14ac:dyDescent="0.25">
      <c r="A1035" t="str">
        <f>"160004172"</f>
        <v>160004172</v>
      </c>
      <c r="B1035" t="str">
        <f>"EHPAD LES JARDINS D'IROISE"</f>
        <v>EHPAD LES JARDINS D'IROISE</v>
      </c>
      <c r="C1035" t="s">
        <v>70</v>
      </c>
    </row>
    <row r="1036" spans="1:3" x14ac:dyDescent="0.25">
      <c r="A1036" t="str">
        <f>"160004206"</f>
        <v>160004206</v>
      </c>
      <c r="B1036" t="str">
        <f>"EHPAD LARCHIER"</f>
        <v>EHPAD LARCHIER</v>
      </c>
      <c r="C1036" t="s">
        <v>70</v>
      </c>
    </row>
    <row r="1037" spans="1:3" x14ac:dyDescent="0.25">
      <c r="A1037" t="str">
        <f>"160004222"</f>
        <v>160004222</v>
      </c>
      <c r="B1037" t="str">
        <f>"EHPAD LES ORCHIDEES"</f>
        <v>EHPAD LES ORCHIDEES</v>
      </c>
      <c r="C1037" t="s">
        <v>70</v>
      </c>
    </row>
    <row r="1038" spans="1:3" x14ac:dyDescent="0.25">
      <c r="A1038" t="str">
        <f>"160004230"</f>
        <v>160004230</v>
      </c>
      <c r="B1038" t="str">
        <f>"EHPAD ANDRE COMPAIN"</f>
        <v>EHPAD ANDRE COMPAIN</v>
      </c>
      <c r="C1038" t="s">
        <v>70</v>
      </c>
    </row>
    <row r="1039" spans="1:3" x14ac:dyDescent="0.25">
      <c r="A1039" t="str">
        <f>"160004271"</f>
        <v>160004271</v>
      </c>
      <c r="B1039" t="str">
        <f>"EHPAD RESIDENCE LES MARRONNIERS"</f>
        <v>EHPAD RESIDENCE LES MARRONNIERS</v>
      </c>
      <c r="C1039" t="s">
        <v>70</v>
      </c>
    </row>
    <row r="1040" spans="1:3" x14ac:dyDescent="0.25">
      <c r="A1040" t="str">
        <f>"160004370"</f>
        <v>160004370</v>
      </c>
      <c r="B1040" t="str">
        <f>"PUV - LA TOUCHE"</f>
        <v>PUV - LA TOUCHE</v>
      </c>
      <c r="C1040" t="s">
        <v>70</v>
      </c>
    </row>
    <row r="1041" spans="1:3" x14ac:dyDescent="0.25">
      <c r="A1041" t="str">
        <f>"160004396"</f>
        <v>160004396</v>
      </c>
      <c r="B1041" t="str">
        <f>"EHPAD - LES JARDINS D'IROISE"</f>
        <v>EHPAD - LES JARDINS D'IROISE</v>
      </c>
      <c r="C1041" t="s">
        <v>70</v>
      </c>
    </row>
    <row r="1042" spans="1:3" x14ac:dyDescent="0.25">
      <c r="A1042" t="str">
        <f>"160004412"</f>
        <v>160004412</v>
      </c>
      <c r="B1042" t="str">
        <f>"EHPAD LES ECUREUILS"</f>
        <v>EHPAD LES ECUREUILS</v>
      </c>
      <c r="C1042" t="s">
        <v>70</v>
      </c>
    </row>
    <row r="1043" spans="1:3" x14ac:dyDescent="0.25">
      <c r="A1043" t="str">
        <f>"160004420"</f>
        <v>160004420</v>
      </c>
      <c r="B1043" t="str">
        <f>"PUV - DOMAINE DE LA CHAISE"</f>
        <v>PUV - DOMAINE DE LA CHAISE</v>
      </c>
      <c r="C1043" t="s">
        <v>70</v>
      </c>
    </row>
    <row r="1044" spans="1:3" x14ac:dyDescent="0.25">
      <c r="A1044" t="str">
        <f>"160004446"</f>
        <v>160004446</v>
      </c>
      <c r="B1044" t="str">
        <f>"EHPAD COS SAINTE MARTHE"</f>
        <v>EHPAD COS SAINTE MARTHE</v>
      </c>
      <c r="C1044" t="s">
        <v>70</v>
      </c>
    </row>
    <row r="1045" spans="1:3" x14ac:dyDescent="0.25">
      <c r="A1045" t="str">
        <f>"160004461"</f>
        <v>160004461</v>
      </c>
      <c r="B1045" t="str">
        <f>"EHPAD LA ROSERAIE"</f>
        <v>EHPAD LA ROSERAIE</v>
      </c>
      <c r="C1045" t="s">
        <v>70</v>
      </c>
    </row>
    <row r="1046" spans="1:3" x14ac:dyDescent="0.25">
      <c r="A1046" t="str">
        <f>"160004503"</f>
        <v>160004503</v>
      </c>
      <c r="B1046" t="str">
        <f>"EHPAD DU CHIP - GUY GAUTHIER"</f>
        <v>EHPAD DU CHIP - GUY GAUTHIER</v>
      </c>
      <c r="C1046" t="s">
        <v>70</v>
      </c>
    </row>
    <row r="1047" spans="1:3" x14ac:dyDescent="0.25">
      <c r="A1047" t="str">
        <f>"160004669"</f>
        <v>160004669</v>
      </c>
      <c r="B1047" t="str">
        <f>"EHPAD LA MAISON DES SOURCES"</f>
        <v>EHPAD LA MAISON DES SOURCES</v>
      </c>
      <c r="C1047" t="s">
        <v>70</v>
      </c>
    </row>
    <row r="1048" spans="1:3" x14ac:dyDescent="0.25">
      <c r="A1048" t="str">
        <f>"160005435"</f>
        <v>160005435</v>
      </c>
      <c r="B1048" t="str">
        <f>"EHPAD RESIDENCE LES HYADES"</f>
        <v>EHPAD RESIDENCE LES HYADES</v>
      </c>
      <c r="C1048" t="s">
        <v>70</v>
      </c>
    </row>
    <row r="1049" spans="1:3" x14ac:dyDescent="0.25">
      <c r="A1049" t="str">
        <f>"160006987"</f>
        <v>160006987</v>
      </c>
      <c r="B1049" t="str">
        <f>"EHPAD BEAULIEU"</f>
        <v>EHPAD BEAULIEU</v>
      </c>
      <c r="C1049" t="s">
        <v>70</v>
      </c>
    </row>
    <row r="1050" spans="1:3" x14ac:dyDescent="0.25">
      <c r="A1050" t="str">
        <f>"160007027"</f>
        <v>160007027</v>
      </c>
      <c r="B1050" t="str">
        <f>"EHPAD LES AURES"</f>
        <v>EHPAD LES AURES</v>
      </c>
      <c r="C1050" t="s">
        <v>70</v>
      </c>
    </row>
    <row r="1051" spans="1:3" x14ac:dyDescent="0.25">
      <c r="A1051" t="str">
        <f>"160007050"</f>
        <v>160007050</v>
      </c>
      <c r="B1051" t="str">
        <f>"EHPAD - LA CHAUVETERIE"</f>
        <v>EHPAD - LA CHAUVETERIE</v>
      </c>
      <c r="C1051" t="s">
        <v>70</v>
      </c>
    </row>
    <row r="1052" spans="1:3" x14ac:dyDescent="0.25">
      <c r="A1052" t="str">
        <f>"160007092"</f>
        <v>160007092</v>
      </c>
      <c r="B1052" t="str">
        <f>"EHPAD LES BOUTONS D'OR"</f>
        <v>EHPAD LES BOUTONS D'OR</v>
      </c>
      <c r="C1052" t="s">
        <v>70</v>
      </c>
    </row>
    <row r="1053" spans="1:3" x14ac:dyDescent="0.25">
      <c r="A1053" t="str">
        <f>"160007332"</f>
        <v>160007332</v>
      </c>
      <c r="B1053" t="str">
        <f>"EHPAD LES DOUCETS"</f>
        <v>EHPAD LES DOUCETS</v>
      </c>
      <c r="C1053" t="s">
        <v>70</v>
      </c>
    </row>
    <row r="1054" spans="1:3" x14ac:dyDescent="0.25">
      <c r="A1054" t="str">
        <f>"160007456"</f>
        <v>160007456</v>
      </c>
      <c r="B1054" t="str">
        <f>"EHPAD DU CHIP - SITE MONTESQUIEU"</f>
        <v>EHPAD DU CHIP - SITE MONTESQUIEU</v>
      </c>
      <c r="C1054" t="s">
        <v>70</v>
      </c>
    </row>
    <row r="1055" spans="1:3" x14ac:dyDescent="0.25">
      <c r="A1055" t="str">
        <f>"160007472"</f>
        <v>160007472</v>
      </c>
      <c r="B1055" t="str">
        <f>"PUV LA ROSERAIE"</f>
        <v>PUV LA ROSERAIE</v>
      </c>
      <c r="C1055" t="s">
        <v>70</v>
      </c>
    </row>
    <row r="1056" spans="1:3" x14ac:dyDescent="0.25">
      <c r="A1056" t="str">
        <f>"160007480"</f>
        <v>160007480</v>
      </c>
      <c r="B1056" t="str">
        <f>"EHPAD RESIDENCE LE CLOS DES TOURS"</f>
        <v>EHPAD RESIDENCE LE CLOS DES TOURS</v>
      </c>
      <c r="C1056" t="s">
        <v>70</v>
      </c>
    </row>
    <row r="1057" spans="1:3" x14ac:dyDescent="0.25">
      <c r="A1057" t="str">
        <f>"160007563"</f>
        <v>160007563</v>
      </c>
      <c r="B1057" t="str">
        <f>"EHPAD DU CHIP - S"</f>
        <v>EHPAD DU CHIP - S</v>
      </c>
      <c r="C1057" t="s">
        <v>70</v>
      </c>
    </row>
    <row r="1058" spans="1:3" x14ac:dyDescent="0.25">
      <c r="A1058" t="str">
        <f>"160007571"</f>
        <v>160007571</v>
      </c>
      <c r="B1058" t="str">
        <f>"EHPAD LES MAISONS DE MARTHE"</f>
        <v>EHPAD LES MAISONS DE MARTHE</v>
      </c>
      <c r="C1058" t="s">
        <v>70</v>
      </c>
    </row>
    <row r="1059" spans="1:3" x14ac:dyDescent="0.25">
      <c r="A1059" t="str">
        <f>"160007779"</f>
        <v>160007779</v>
      </c>
      <c r="B1059" t="str">
        <f>"EHPAD DOMAINE DE BARQUEVILLE"</f>
        <v>EHPAD DOMAINE DE BARQUEVILLE</v>
      </c>
      <c r="C1059" t="s">
        <v>70</v>
      </c>
    </row>
    <row r="1060" spans="1:3" x14ac:dyDescent="0.25">
      <c r="A1060" t="str">
        <f>"160007803"</f>
        <v>160007803</v>
      </c>
      <c r="B1060" t="str">
        <f>"EHPAD RESIDENCE BORIS BORDES"</f>
        <v>EHPAD RESIDENCE BORIS BORDES</v>
      </c>
      <c r="C1060" t="s">
        <v>70</v>
      </c>
    </row>
    <row r="1061" spans="1:3" x14ac:dyDescent="0.25">
      <c r="A1061" t="str">
        <f>"160008264"</f>
        <v>160008264</v>
      </c>
      <c r="B1061" t="str">
        <f>"EHPAD LES ALINS DU MARECHAL"</f>
        <v>EHPAD LES ALINS DU MARECHAL</v>
      </c>
      <c r="C1061" t="s">
        <v>70</v>
      </c>
    </row>
    <row r="1062" spans="1:3" x14ac:dyDescent="0.25">
      <c r="A1062" t="str">
        <f>"160008280"</f>
        <v>160008280</v>
      </c>
      <c r="B1062" t="str">
        <f>"PUV - RESIDENCE DU NOBLET"</f>
        <v>PUV - RESIDENCE DU NOBLET</v>
      </c>
      <c r="C1062" t="s">
        <v>70</v>
      </c>
    </row>
    <row r="1063" spans="1:3" x14ac:dyDescent="0.25">
      <c r="A1063" t="str">
        <f>"160008298"</f>
        <v>160008298</v>
      </c>
      <c r="B1063" t="str">
        <f>"EHPAD - LA PICAUDRIE"</f>
        <v>EHPAD - LA PICAUDRIE</v>
      </c>
      <c r="C1063" t="s">
        <v>70</v>
      </c>
    </row>
    <row r="1064" spans="1:3" x14ac:dyDescent="0.25">
      <c r="A1064" t="str">
        <f>"160008322"</f>
        <v>160008322</v>
      </c>
      <c r="B1064" t="str">
        <f>"EHPAD CHARLES D'ORLEANS"</f>
        <v>EHPAD CHARLES D'ORLEANS</v>
      </c>
      <c r="C1064" t="s">
        <v>70</v>
      </c>
    </row>
    <row r="1065" spans="1:3" x14ac:dyDescent="0.25">
      <c r="A1065" t="str">
        <f>"160008330"</f>
        <v>160008330</v>
      </c>
      <c r="B1065" t="str">
        <f>"EHPAD L'ABBAYE"</f>
        <v>EHPAD L'ABBAYE</v>
      </c>
      <c r="C1065" t="s">
        <v>70</v>
      </c>
    </row>
    <row r="1066" spans="1:3" x14ac:dyDescent="0.25">
      <c r="A1066" t="str">
        <f>"160009007"</f>
        <v>160009007</v>
      </c>
      <c r="B1066" t="str">
        <f>"EHPAD CHATEAU DE CRESSE"</f>
        <v>EHPAD CHATEAU DE CRESSE</v>
      </c>
      <c r="C1066" t="s">
        <v>70</v>
      </c>
    </row>
    <row r="1067" spans="1:3" x14ac:dyDescent="0.25">
      <c r="A1067" t="str">
        <f>"160009551"</f>
        <v>160009551</v>
      </c>
      <c r="B1067" t="str">
        <f>"EHPAD - VALLEE DU BANDIAT"</f>
        <v>EHPAD - VALLEE DU BANDIAT</v>
      </c>
      <c r="C1067" t="s">
        <v>70</v>
      </c>
    </row>
    <row r="1068" spans="1:3" x14ac:dyDescent="0.25">
      <c r="A1068" t="str">
        <f>"160009627"</f>
        <v>160009627</v>
      </c>
      <c r="B1068" t="str">
        <f>"EHPAD RESIDENCE LE BOIS DOUCET"</f>
        <v>EHPAD RESIDENCE LE BOIS DOUCET</v>
      </c>
      <c r="C1068" t="s">
        <v>70</v>
      </c>
    </row>
    <row r="1069" spans="1:3" x14ac:dyDescent="0.25">
      <c r="A1069" t="str">
        <f>"160009643"</f>
        <v>160009643</v>
      </c>
      <c r="B1069" t="str">
        <f>"EHPAD LA CITADELLE DE LA COURONNE"</f>
        <v>EHPAD LA CITADELLE DE LA COURONNE</v>
      </c>
      <c r="C1069" t="s">
        <v>70</v>
      </c>
    </row>
    <row r="1070" spans="1:3" x14ac:dyDescent="0.25">
      <c r="A1070" t="str">
        <f>"160009866"</f>
        <v>160009866</v>
      </c>
      <c r="B1070" t="str">
        <f>"EHPAD - LA CHALOTINE"</f>
        <v>EHPAD - LA CHALOTINE</v>
      </c>
      <c r="C1070" t="s">
        <v>70</v>
      </c>
    </row>
    <row r="1071" spans="1:3" x14ac:dyDescent="0.25">
      <c r="A1071" t="str">
        <f>"160009874"</f>
        <v>160009874</v>
      </c>
      <c r="B1071" t="str">
        <f>"EHPAD RESIDENCE LES JONQUILLES"</f>
        <v>EHPAD RESIDENCE LES JONQUILLES</v>
      </c>
      <c r="C1071" t="s">
        <v>70</v>
      </c>
    </row>
    <row r="1072" spans="1:3" x14ac:dyDescent="0.25">
      <c r="A1072" t="str">
        <f>"160009882"</f>
        <v>160009882</v>
      </c>
      <c r="B1072" t="str">
        <f>"EHPAD LA CROIX DU MARECHAL"</f>
        <v>EHPAD LA CROIX DU MARECHAL</v>
      </c>
      <c r="C1072" t="s">
        <v>70</v>
      </c>
    </row>
    <row r="1073" spans="1:3" x14ac:dyDescent="0.25">
      <c r="A1073" t="str">
        <f>"160009890"</f>
        <v>160009890</v>
      </c>
      <c r="B1073" t="str">
        <f>"EHPAD LES PIVOINES"</f>
        <v>EHPAD LES PIVOINES</v>
      </c>
      <c r="C1073" t="s">
        <v>70</v>
      </c>
    </row>
    <row r="1074" spans="1:3" x14ac:dyDescent="0.25">
      <c r="A1074" t="str">
        <f>"160009916"</f>
        <v>160009916</v>
      </c>
      <c r="B1074" t="str">
        <f>"EHPAD LES JARDINS DE LA GARENNE"</f>
        <v>EHPAD LES JARDINS DE LA GARENNE</v>
      </c>
      <c r="C1074" t="s">
        <v>70</v>
      </c>
    </row>
    <row r="1075" spans="1:3" x14ac:dyDescent="0.25">
      <c r="A1075" t="str">
        <f>"160009924"</f>
        <v>160009924</v>
      </c>
      <c r="B1075" t="str">
        <f>"EHPAD LES CHARENTES"</f>
        <v>EHPAD LES CHARENTES</v>
      </c>
      <c r="C1075" t="s">
        <v>70</v>
      </c>
    </row>
    <row r="1076" spans="1:3" x14ac:dyDescent="0.25">
      <c r="A1076" t="str">
        <f>"160009940"</f>
        <v>160009940</v>
      </c>
      <c r="B1076" t="str">
        <f>"EHPAD LE HAUT BOIS"</f>
        <v>EHPAD LE HAUT BOIS</v>
      </c>
      <c r="C1076" t="s">
        <v>70</v>
      </c>
    </row>
    <row r="1077" spans="1:3" x14ac:dyDescent="0.25">
      <c r="A1077" t="str">
        <f>"160010732"</f>
        <v>160010732</v>
      </c>
      <c r="B1077" t="str">
        <f>"EHPAD LES LIS"</f>
        <v>EHPAD LES LIS</v>
      </c>
      <c r="C1077" t="s">
        <v>70</v>
      </c>
    </row>
    <row r="1078" spans="1:3" x14ac:dyDescent="0.25">
      <c r="A1078" t="str">
        <f>"160011656"</f>
        <v>160011656</v>
      </c>
      <c r="B1078" t="str">
        <f>"EHPAD - LE VILLARD"</f>
        <v>EHPAD - LE VILLARD</v>
      </c>
      <c r="C1078" t="s">
        <v>70</v>
      </c>
    </row>
    <row r="1079" spans="1:3" x14ac:dyDescent="0.25">
      <c r="A1079" t="str">
        <f>"160011672"</f>
        <v>160011672</v>
      </c>
      <c r="B1079" t="str">
        <f>"EHPAD - LA BOURBONNERIE"</f>
        <v>EHPAD - LA BOURBONNERIE</v>
      </c>
      <c r="C1079" t="s">
        <v>70</v>
      </c>
    </row>
    <row r="1080" spans="1:3" x14ac:dyDescent="0.25">
      <c r="A1080" t="str">
        <f>"160011706"</f>
        <v>160011706</v>
      </c>
      <c r="B1080" t="str">
        <f>"EHPAD LES CHARMILLES"</f>
        <v>EHPAD LES CHARMILLES</v>
      </c>
      <c r="C1080" t="s">
        <v>70</v>
      </c>
    </row>
    <row r="1081" spans="1:3" x14ac:dyDescent="0.25">
      <c r="A1081" t="str">
        <f>"160011953"</f>
        <v>160011953</v>
      </c>
      <c r="B1081" t="str">
        <f>"EHPAD LE FIL D'ARGENT"</f>
        <v>EHPAD LE FIL D'ARGENT</v>
      </c>
      <c r="C1081" t="s">
        <v>70</v>
      </c>
    </row>
    <row r="1082" spans="1:3" x14ac:dyDescent="0.25">
      <c r="A1082" t="str">
        <f>"160011979"</f>
        <v>160011979</v>
      </c>
      <c r="B1082" t="str">
        <f>"EHPAD - LES HESPERIDES"</f>
        <v>EHPAD - LES HESPERIDES</v>
      </c>
      <c r="C1082" t="s">
        <v>70</v>
      </c>
    </row>
    <row r="1083" spans="1:3" x14ac:dyDescent="0.25">
      <c r="A1083" t="str">
        <f>"160012001"</f>
        <v>160012001</v>
      </c>
      <c r="B1083" t="str">
        <f>"MAISON DE RETRAITE LE GRAND PARC"</f>
        <v>MAISON DE RETRAITE LE GRAND PARC</v>
      </c>
      <c r="C1083" t="s">
        <v>70</v>
      </c>
    </row>
    <row r="1084" spans="1:3" x14ac:dyDescent="0.25">
      <c r="A1084" t="str">
        <f>"160012142"</f>
        <v>160012142</v>
      </c>
      <c r="B1084" t="str">
        <f>"PUV LE LOGIS DU SOUDET"</f>
        <v>PUV LE LOGIS DU SOUDET</v>
      </c>
      <c r="C1084" t="s">
        <v>70</v>
      </c>
    </row>
    <row r="1085" spans="1:3" x14ac:dyDescent="0.25">
      <c r="A1085" t="str">
        <f>"160012878"</f>
        <v>160012878</v>
      </c>
      <c r="B1085" t="str">
        <f>"EHPAD - RESIDENCE EMERAUDES"</f>
        <v>EHPAD - RESIDENCE EMERAUDES</v>
      </c>
      <c r="C1085" t="s">
        <v>70</v>
      </c>
    </row>
    <row r="1086" spans="1:3" x14ac:dyDescent="0.25">
      <c r="A1086" t="str">
        <f>"160013231"</f>
        <v>160013231</v>
      </c>
      <c r="B1086" t="str">
        <f>"PUV RESIDENCE DU PARC"</f>
        <v>PUV RESIDENCE DU PARC</v>
      </c>
      <c r="C1086" t="s">
        <v>70</v>
      </c>
    </row>
    <row r="1087" spans="1:3" x14ac:dyDescent="0.25">
      <c r="A1087" t="str">
        <f>"160014403"</f>
        <v>160014403</v>
      </c>
      <c r="B1087" t="str">
        <f>"EHPAD FOND DOUCE"</f>
        <v>EHPAD FOND DOUCE</v>
      </c>
      <c r="C1087" t="s">
        <v>70</v>
      </c>
    </row>
    <row r="1088" spans="1:3" x14ac:dyDescent="0.25">
      <c r="A1088" t="str">
        <f>"160014924"</f>
        <v>160014924</v>
      </c>
      <c r="B1088" t="str">
        <f>"EHPAD RESIDENCE MUTUALISTE LA SOURCE"</f>
        <v>EHPAD RESIDENCE MUTUALISTE LA SOURCE</v>
      </c>
      <c r="C1088" t="s">
        <v>70</v>
      </c>
    </row>
    <row r="1089" spans="1:3" x14ac:dyDescent="0.25">
      <c r="A1089" t="str">
        <f>"170009542"</f>
        <v>170009542</v>
      </c>
      <c r="B1089" t="str">
        <f>"EHPAD LE LOGIS DE MONTIGNAC"</f>
        <v>EHPAD LE LOGIS DE MONTIGNAC</v>
      </c>
      <c r="C1089" t="s">
        <v>70</v>
      </c>
    </row>
    <row r="1090" spans="1:3" x14ac:dyDescent="0.25">
      <c r="A1090" t="str">
        <f>"170009674"</f>
        <v>170009674</v>
      </c>
      <c r="B1090" t="str">
        <f>"EHPAD RESIDENCE DE BEAULIEU"</f>
        <v>EHPAD RESIDENCE DE BEAULIEU</v>
      </c>
      <c r="C1090" t="s">
        <v>70</v>
      </c>
    </row>
    <row r="1091" spans="1:3" x14ac:dyDescent="0.25">
      <c r="A1091" t="str">
        <f>"170009831"</f>
        <v>170009831</v>
      </c>
      <c r="B1091" t="str">
        <f>"PUV - RESIDENCE MONTIGNY"</f>
        <v>PUV - RESIDENCE MONTIGNY</v>
      </c>
      <c r="C1091" t="s">
        <v>70</v>
      </c>
    </row>
    <row r="1092" spans="1:3" x14ac:dyDescent="0.25">
      <c r="A1092" t="str">
        <f>"170009880"</f>
        <v>170009880</v>
      </c>
      <c r="B1092" t="str">
        <f>"EHPAD LES DEUX CEDRES"</f>
        <v>EHPAD LES DEUX CEDRES</v>
      </c>
      <c r="C1092" t="s">
        <v>70</v>
      </c>
    </row>
    <row r="1093" spans="1:3" x14ac:dyDescent="0.25">
      <c r="A1093" t="str">
        <f>"170012702"</f>
        <v>170012702</v>
      </c>
      <c r="B1093" t="str">
        <f>"EHPAD RESIDENCE DU LAC"</f>
        <v>EHPAD RESIDENCE DU LAC</v>
      </c>
      <c r="C1093" t="s">
        <v>70</v>
      </c>
    </row>
    <row r="1094" spans="1:3" x14ac:dyDescent="0.25">
      <c r="A1094" t="str">
        <f>"170014799"</f>
        <v>170014799</v>
      </c>
      <c r="B1094" t="str">
        <f>"EHPAD - RESIDENCE LES BOUCHOLEURS"</f>
        <v>EHPAD - RESIDENCE LES BOUCHOLEURS</v>
      </c>
      <c r="C1094" t="s">
        <v>70</v>
      </c>
    </row>
    <row r="1095" spans="1:3" x14ac:dyDescent="0.25">
      <c r="A1095" t="str">
        <f>"170014989"</f>
        <v>170014989</v>
      </c>
      <c r="B1095" t="str">
        <f>"EHPAD RESIDENCE LE CHATEAU DE MONS"</f>
        <v>EHPAD RESIDENCE LE CHATEAU DE MONS</v>
      </c>
      <c r="C1095" t="s">
        <v>70</v>
      </c>
    </row>
    <row r="1096" spans="1:3" x14ac:dyDescent="0.25">
      <c r="A1096" t="str">
        <f>"170015499"</f>
        <v>170015499</v>
      </c>
      <c r="B1096" t="str">
        <f>"EHPAD RESIDENCE LES PETITES VIGNES"</f>
        <v>EHPAD RESIDENCE LES PETITES VIGNES</v>
      </c>
      <c r="C1096" t="s">
        <v>70</v>
      </c>
    </row>
    <row r="1097" spans="1:3" x14ac:dyDescent="0.25">
      <c r="A1097" t="str">
        <f>"170015978"</f>
        <v>170015978</v>
      </c>
      <c r="B1097" t="str">
        <f>"EHPAD - RESIDENCE DU CHAMP DE MARS"</f>
        <v>EHPAD - RESIDENCE DU CHAMP DE MARS</v>
      </c>
      <c r="C1097" t="s">
        <v>70</v>
      </c>
    </row>
    <row r="1098" spans="1:3" x14ac:dyDescent="0.25">
      <c r="A1098" t="str">
        <f>"170016232"</f>
        <v>170016232</v>
      </c>
      <c r="B1098" t="str">
        <f>"EHPAD MAISON DU PAYS"</f>
        <v>EHPAD MAISON DU PAYS</v>
      </c>
      <c r="C1098" t="s">
        <v>70</v>
      </c>
    </row>
    <row r="1099" spans="1:3" x14ac:dyDescent="0.25">
      <c r="A1099" t="str">
        <f>"170016307"</f>
        <v>170016307</v>
      </c>
      <c r="B1099" t="str">
        <f>"EHPAD L'OCEANE D'OLERON"</f>
        <v>EHPAD L'OCEANE D'OLERON</v>
      </c>
      <c r="C1099" t="s">
        <v>70</v>
      </c>
    </row>
    <row r="1100" spans="1:3" x14ac:dyDescent="0.25">
      <c r="A1100" t="str">
        <f>"170016638"</f>
        <v>170016638</v>
      </c>
      <c r="B1100" t="str">
        <f>"EHPAD LES PORTES DU JARDIN"</f>
        <v>EHPAD LES PORTES DU JARDIN</v>
      </c>
      <c r="C1100" t="s">
        <v>70</v>
      </c>
    </row>
    <row r="1101" spans="1:3" x14ac:dyDescent="0.25">
      <c r="A1101" t="str">
        <f>"170018501"</f>
        <v>170018501</v>
      </c>
      <c r="B1101" t="str">
        <f>"EHPAD RESIDENCE LA CLAIRE FONTAINE"</f>
        <v>EHPAD RESIDENCE LA CLAIRE FONTAINE</v>
      </c>
      <c r="C1101" t="s">
        <v>70</v>
      </c>
    </row>
    <row r="1102" spans="1:3" x14ac:dyDescent="0.25">
      <c r="A1102" t="str">
        <f>"170019400"</f>
        <v>170019400</v>
      </c>
      <c r="B1102" t="str">
        <f>"PUV LES JARDINS D'IROISE"</f>
        <v>PUV LES JARDINS D'IROISE</v>
      </c>
      <c r="C1102" t="s">
        <v>70</v>
      </c>
    </row>
    <row r="1103" spans="1:3" x14ac:dyDescent="0.25">
      <c r="A1103" t="str">
        <f>"170019632"</f>
        <v>170019632</v>
      </c>
      <c r="B1103" t="str">
        <f>"EHPAD LES JARDINS DES HAUTS DE THENAC"</f>
        <v>EHPAD LES JARDINS DES HAUTS DE THENAC</v>
      </c>
      <c r="C1103" t="s">
        <v>70</v>
      </c>
    </row>
    <row r="1104" spans="1:3" x14ac:dyDescent="0.25">
      <c r="A1104" t="str">
        <f>"170020531"</f>
        <v>170020531</v>
      </c>
      <c r="B1104" t="str">
        <f>"EHPAD SPECIALISE - L'ORANGERIE"</f>
        <v>EHPAD SPECIALISE - L'ORANGERIE</v>
      </c>
      <c r="C1104" t="s">
        <v>70</v>
      </c>
    </row>
    <row r="1105" spans="1:3" x14ac:dyDescent="0.25">
      <c r="A1105" t="str">
        <f>"170020648"</f>
        <v>170020648</v>
      </c>
      <c r="B1105" t="str">
        <f>"EHPAD RESIDENCE LE VIGE"</f>
        <v>EHPAD RESIDENCE LE VIGE</v>
      </c>
      <c r="C1105" t="s">
        <v>70</v>
      </c>
    </row>
    <row r="1106" spans="1:3" x14ac:dyDescent="0.25">
      <c r="A1106" t="str">
        <f>"170020804"</f>
        <v>170020804</v>
      </c>
      <c r="B1106" t="str">
        <f>"EHPAD LA RECOUVRANCE"</f>
        <v>EHPAD LA RECOUVRANCE</v>
      </c>
      <c r="C1106" t="s">
        <v>70</v>
      </c>
    </row>
    <row r="1107" spans="1:3" x14ac:dyDescent="0.25">
      <c r="A1107" t="str">
        <f>"170021059"</f>
        <v>170021059</v>
      </c>
      <c r="B1107" t="str">
        <f>"EHPAD RESIDENCE VALPASTOUR"</f>
        <v>EHPAD RESIDENCE VALPASTOUR</v>
      </c>
      <c r="C1107" t="s">
        <v>70</v>
      </c>
    </row>
    <row r="1108" spans="1:3" x14ac:dyDescent="0.25">
      <c r="A1108" t="str">
        <f>"170021075"</f>
        <v>170021075</v>
      </c>
      <c r="B1108" t="str">
        <f>"EHPAD - LES JARDINS DE GO"</f>
        <v>EHPAD - LES JARDINS DE GO</v>
      </c>
      <c r="C1108" t="s">
        <v>70</v>
      </c>
    </row>
    <row r="1109" spans="1:3" x14ac:dyDescent="0.25">
      <c r="A1109" t="str">
        <f>"170021224"</f>
        <v>170021224</v>
      </c>
      <c r="B1109" t="str">
        <f>"EHPAD RESIDENCE LE LITTORAL"</f>
        <v>EHPAD RESIDENCE LE LITTORAL</v>
      </c>
      <c r="C1109" t="s">
        <v>70</v>
      </c>
    </row>
    <row r="1110" spans="1:3" x14ac:dyDescent="0.25">
      <c r="A1110" t="str">
        <f>"170021364"</f>
        <v>170021364</v>
      </c>
      <c r="B1110" t="str">
        <f>"EHPAD LE BOURG NOUVEAU"</f>
        <v>EHPAD LE BOURG NOUVEAU</v>
      </c>
      <c r="C1110" t="s">
        <v>70</v>
      </c>
    </row>
    <row r="1111" spans="1:3" x14ac:dyDescent="0.25">
      <c r="A1111" t="str">
        <f>"170021372"</f>
        <v>170021372</v>
      </c>
      <c r="B1111" t="str">
        <f>"EHPAD RESIDENCE DE PORT NEUF"</f>
        <v>EHPAD RESIDENCE DE PORT NEUF</v>
      </c>
      <c r="C1111" t="s">
        <v>70</v>
      </c>
    </row>
    <row r="1112" spans="1:3" x14ac:dyDescent="0.25">
      <c r="A1112" t="str">
        <f>"170021638"</f>
        <v>170021638</v>
      </c>
      <c r="B1112" t="str">
        <f>"EHPAD - SPECIALISE"</f>
        <v>EHPAD - SPECIALISE</v>
      </c>
      <c r="C1112" t="s">
        <v>70</v>
      </c>
    </row>
    <row r="1113" spans="1:3" x14ac:dyDescent="0.25">
      <c r="A1113" t="str">
        <f>"170021653"</f>
        <v>170021653</v>
      </c>
      <c r="B1113" t="str">
        <f>"EHPAD RESIDENCE LES ALOES"</f>
        <v>EHPAD RESIDENCE LES ALOES</v>
      </c>
      <c r="C1113" t="s">
        <v>70</v>
      </c>
    </row>
    <row r="1114" spans="1:3" x14ac:dyDescent="0.25">
      <c r="A1114" t="str">
        <f>"170021810"</f>
        <v>170021810</v>
      </c>
      <c r="B1114" t="str">
        <f>"EHPAD RESIDENCE L'ESCALE"</f>
        <v>EHPAD RESIDENCE L'ESCALE</v>
      </c>
      <c r="C1114" t="s">
        <v>70</v>
      </c>
    </row>
    <row r="1115" spans="1:3" x14ac:dyDescent="0.25">
      <c r="A1115" t="str">
        <f>"170021943"</f>
        <v>170021943</v>
      </c>
      <c r="B1115" t="str">
        <f>"EHPAD LES CHAMPS DU NOYER"</f>
        <v>EHPAD LES CHAMPS DU NOYER</v>
      </c>
      <c r="C1115" t="s">
        <v>70</v>
      </c>
    </row>
    <row r="1116" spans="1:3" x14ac:dyDescent="0.25">
      <c r="A1116" t="str">
        <f>"170021968"</f>
        <v>170021968</v>
      </c>
      <c r="B1116" t="str">
        <f>"EHPAD LE MOULIN DU VAL DU BRUANT"</f>
        <v>EHPAD LE MOULIN DU VAL DU BRUANT</v>
      </c>
      <c r="C1116" t="s">
        <v>70</v>
      </c>
    </row>
    <row r="1117" spans="1:3" x14ac:dyDescent="0.25">
      <c r="A1117" t="str">
        <f>"170022115"</f>
        <v>170022115</v>
      </c>
      <c r="B1117" t="str">
        <f>"EHPAD LES JARDINS DU MARAIS"</f>
        <v>EHPAD LES JARDINS DU MARAIS</v>
      </c>
      <c r="C1117" t="s">
        <v>70</v>
      </c>
    </row>
    <row r="1118" spans="1:3" x14ac:dyDescent="0.25">
      <c r="A1118" t="str">
        <f>"170022602"</f>
        <v>170022602</v>
      </c>
      <c r="B1118" t="str">
        <f>"EHPAD - RES. LE CERCLE DES AINES"</f>
        <v>EHPAD - RES. LE CERCLE DES AINES</v>
      </c>
      <c r="C1118" t="s">
        <v>70</v>
      </c>
    </row>
    <row r="1119" spans="1:3" x14ac:dyDescent="0.25">
      <c r="A1119" t="str">
        <f>"170022834"</f>
        <v>170022834</v>
      </c>
      <c r="B1119" t="str">
        <f>"EHPAD LA MAISON DE BAILLAC"</f>
        <v>EHPAD LA MAISON DE BAILLAC</v>
      </c>
      <c r="C1119" t="s">
        <v>70</v>
      </c>
    </row>
    <row r="1120" spans="1:3" x14ac:dyDescent="0.25">
      <c r="A1120" t="str">
        <f>"170022966"</f>
        <v>170022966</v>
      </c>
      <c r="B1120" t="str">
        <f>"EHPAD LES COLLINES - CH ST-JEAN"</f>
        <v>EHPAD LES COLLINES - CH ST-JEAN</v>
      </c>
      <c r="C1120" t="s">
        <v>70</v>
      </c>
    </row>
    <row r="1121" spans="1:3" x14ac:dyDescent="0.25">
      <c r="A1121" t="str">
        <f>"170023006"</f>
        <v>170023006</v>
      </c>
      <c r="B1121" t="str">
        <f>"EHPAD LA VILLA AMELIE"</f>
        <v>EHPAD LA VILLA AMELIE</v>
      </c>
      <c r="C1121" t="s">
        <v>70</v>
      </c>
    </row>
    <row r="1122" spans="1:3" x14ac:dyDescent="0.25">
      <c r="A1122" t="str">
        <f>"170023014"</f>
        <v>170023014</v>
      </c>
      <c r="B1122" t="str">
        <f>"EHPAD RESIDENCE RIEUX-COUDREAU"</f>
        <v>EHPAD RESIDENCE RIEUX-COUDREAU</v>
      </c>
      <c r="C1122" t="s">
        <v>70</v>
      </c>
    </row>
    <row r="1123" spans="1:3" x14ac:dyDescent="0.25">
      <c r="A1123" t="str">
        <f>"170023196"</f>
        <v>170023196</v>
      </c>
      <c r="B1123" t="str">
        <f>"EHPAD LES JARDINS DE LUCILE"</f>
        <v>EHPAD LES JARDINS DE LUCILE</v>
      </c>
      <c r="C1123" t="s">
        <v>70</v>
      </c>
    </row>
    <row r="1124" spans="1:3" x14ac:dyDescent="0.25">
      <c r="A1124" t="str">
        <f>"170023246"</f>
        <v>170023246</v>
      </c>
      <c r="B1124" t="str">
        <f>"EHPAD RESIDENCE DU PAYS D'AUNIS"</f>
        <v>EHPAD RESIDENCE DU PAYS D'AUNIS</v>
      </c>
      <c r="C1124" t="s">
        <v>70</v>
      </c>
    </row>
    <row r="1125" spans="1:3" x14ac:dyDescent="0.25">
      <c r="A1125" t="str">
        <f>"170024038"</f>
        <v>170024038</v>
      </c>
      <c r="B1125" t="str">
        <f>"EHPAD - MONTGUYON - CH BOSCAMNANT"</f>
        <v>EHPAD - MONTGUYON - CH BOSCAMNANT</v>
      </c>
      <c r="C1125" t="s">
        <v>70</v>
      </c>
    </row>
    <row r="1126" spans="1:3" x14ac:dyDescent="0.25">
      <c r="A1126" t="str">
        <f>"170780217"</f>
        <v>170780217</v>
      </c>
      <c r="B1126" t="str">
        <f>"EHPAD RESIDENCE D'ALIGRE"</f>
        <v>EHPAD RESIDENCE D'ALIGRE</v>
      </c>
      <c r="C1126" t="s">
        <v>70</v>
      </c>
    </row>
    <row r="1127" spans="1:3" x14ac:dyDescent="0.25">
      <c r="A1127" t="str">
        <f>"170780340"</f>
        <v>170780340</v>
      </c>
      <c r="B1127" t="str">
        <f>"EHPAD RESIDENCE NOTRE DAME"</f>
        <v>EHPAD RESIDENCE NOTRE DAME</v>
      </c>
      <c r="C1127" t="s">
        <v>70</v>
      </c>
    </row>
    <row r="1128" spans="1:3" x14ac:dyDescent="0.25">
      <c r="A1128" t="str">
        <f>"170781017"</f>
        <v>170781017</v>
      </c>
      <c r="B1128" t="str">
        <f>"EHPAD LES VACANCES DE LA VIE"</f>
        <v>EHPAD LES VACANCES DE LA VIE</v>
      </c>
      <c r="C1128" t="s">
        <v>70</v>
      </c>
    </row>
    <row r="1129" spans="1:3" x14ac:dyDescent="0.25">
      <c r="A1129" t="str">
        <f>"170781033"</f>
        <v>170781033</v>
      </c>
      <c r="B1129" t="str">
        <f>"EHPAD RESIDENCE LE ROCH"</f>
        <v>EHPAD RESIDENCE LE ROCH</v>
      </c>
      <c r="C1129" t="s">
        <v>70</v>
      </c>
    </row>
    <row r="1130" spans="1:3" x14ac:dyDescent="0.25">
      <c r="A1130" t="str">
        <f>"170781132"</f>
        <v>170781132</v>
      </c>
      <c r="B1130" t="str">
        <f>"EHPAD - CHATEAU DU BOIS D'HURE"</f>
        <v>EHPAD - CHATEAU DU BOIS D'HURE</v>
      </c>
      <c r="C1130" t="s">
        <v>70</v>
      </c>
    </row>
    <row r="1131" spans="1:3" x14ac:dyDescent="0.25">
      <c r="A1131" t="str">
        <f>"170781140"</f>
        <v>170781140</v>
      </c>
      <c r="B1131" t="str">
        <f>"EHPAD - RESIDENCE DU VAL D'ANTENNE"</f>
        <v>EHPAD - RESIDENCE DU VAL D'ANTENNE</v>
      </c>
      <c r="C1131" t="s">
        <v>70</v>
      </c>
    </row>
    <row r="1132" spans="1:3" x14ac:dyDescent="0.25">
      <c r="A1132" t="str">
        <f>"170781157"</f>
        <v>170781157</v>
      </c>
      <c r="B1132" t="str">
        <f>"EHPAD RESIDENCE VAL DE GERES"</f>
        <v>EHPAD RESIDENCE VAL DE GERES</v>
      </c>
      <c r="C1132" t="s">
        <v>70</v>
      </c>
    </row>
    <row r="1133" spans="1:3" x14ac:dyDescent="0.25">
      <c r="A1133" t="str">
        <f>"170782387"</f>
        <v>170782387</v>
      </c>
      <c r="B1133" t="str">
        <f>"EHPAD - LE CHATEAU DE CHARRON"</f>
        <v>EHPAD - LE CHATEAU DE CHARRON</v>
      </c>
      <c r="C1133" t="s">
        <v>70</v>
      </c>
    </row>
    <row r="1134" spans="1:3" x14ac:dyDescent="0.25">
      <c r="A1134" t="str">
        <f>"170782403"</f>
        <v>170782403</v>
      </c>
      <c r="B1134" t="str">
        <f>"EHPAD - KORIAN LES ISSAMBRES"</f>
        <v>EHPAD - KORIAN LES ISSAMBRES</v>
      </c>
      <c r="C1134" t="s">
        <v>70</v>
      </c>
    </row>
    <row r="1135" spans="1:3" x14ac:dyDescent="0.25">
      <c r="A1135" t="str">
        <f>"170782429"</f>
        <v>170782429</v>
      </c>
      <c r="B1135" t="str">
        <f>"EHPAD RESIDENCE DARCY-BRUN"</f>
        <v>EHPAD RESIDENCE DARCY-BRUN</v>
      </c>
      <c r="C1135" t="s">
        <v>70</v>
      </c>
    </row>
    <row r="1136" spans="1:3" x14ac:dyDescent="0.25">
      <c r="A1136" t="str">
        <f>"170782478"</f>
        <v>170782478</v>
      </c>
      <c r="B1136" t="str">
        <f>"EHPAD LA CORALLINE"</f>
        <v>EHPAD LA CORALLINE</v>
      </c>
      <c r="C1136" t="s">
        <v>70</v>
      </c>
    </row>
    <row r="1137" spans="1:3" x14ac:dyDescent="0.25">
      <c r="A1137" t="str">
        <f>"170782668"</f>
        <v>170782668</v>
      </c>
      <c r="B1137" t="str">
        <f>"EHPAD RESIDENCE LES BENGALIS"</f>
        <v>EHPAD RESIDENCE LES BENGALIS</v>
      </c>
      <c r="C1137" t="s">
        <v>70</v>
      </c>
    </row>
    <row r="1138" spans="1:3" x14ac:dyDescent="0.25">
      <c r="A1138" t="str">
        <f>"170782692"</f>
        <v>170782692</v>
      </c>
      <c r="B1138" t="str">
        <f>"EHPAD - RESIDENCE MASSIOU"</f>
        <v>EHPAD - RESIDENCE MASSIOU</v>
      </c>
      <c r="C1138" t="s">
        <v>70</v>
      </c>
    </row>
    <row r="1139" spans="1:3" x14ac:dyDescent="0.25">
      <c r="A1139" t="str">
        <f>"170782841"</f>
        <v>170782841</v>
      </c>
      <c r="B1139" t="str">
        <f>"EHPAD LES JARDINS D'EPARGNES"</f>
        <v>EHPAD LES JARDINS D'EPARGNES</v>
      </c>
      <c r="C1139" t="s">
        <v>70</v>
      </c>
    </row>
    <row r="1140" spans="1:3" x14ac:dyDescent="0.25">
      <c r="A1140" t="str">
        <f>"170782932"</f>
        <v>170782932</v>
      </c>
      <c r="B1140" t="str">
        <f>"EHPAD LE LOGIS DE CANDE"</f>
        <v>EHPAD LE LOGIS DE CANDE</v>
      </c>
      <c r="C1140" t="s">
        <v>70</v>
      </c>
    </row>
    <row r="1141" spans="1:3" x14ac:dyDescent="0.25">
      <c r="A1141" t="str">
        <f>"170783526"</f>
        <v>170783526</v>
      </c>
      <c r="B1141" t="str">
        <f>"EHPAD LES COULEURS DU TEMPS"</f>
        <v>EHPAD LES COULEURS DU TEMPS</v>
      </c>
      <c r="C1141" t="s">
        <v>70</v>
      </c>
    </row>
    <row r="1142" spans="1:3" x14ac:dyDescent="0.25">
      <c r="A1142" t="str">
        <f>"170783559"</f>
        <v>170783559</v>
      </c>
      <c r="B1142" t="str">
        <f>"EHPAD SAINT-LOUIS - CH ST-JEAN"</f>
        <v>EHPAD SAINT-LOUIS - CH ST-JEAN</v>
      </c>
      <c r="C1142" t="s">
        <v>70</v>
      </c>
    </row>
    <row r="1143" spans="1:3" x14ac:dyDescent="0.25">
      <c r="A1143" t="str">
        <f>"170783567"</f>
        <v>170783567</v>
      </c>
      <c r="B1143" t="str">
        <f>"EHPAD SPEC.  BRUMENARD (CH SAINTONGE)"</f>
        <v>EHPAD SPEC.  BRUMENARD (CH SAINTONGE)</v>
      </c>
      <c r="C1143" t="s">
        <v>70</v>
      </c>
    </row>
    <row r="1144" spans="1:3" x14ac:dyDescent="0.25">
      <c r="A1144" t="str">
        <f>"170783575"</f>
        <v>170783575</v>
      </c>
      <c r="B1144" t="str">
        <f>"EHPAD JEAN MOULIN"</f>
        <v>EHPAD JEAN MOULIN</v>
      </c>
      <c r="C1144" t="s">
        <v>70</v>
      </c>
    </row>
    <row r="1145" spans="1:3" x14ac:dyDescent="0.25">
      <c r="A1145" t="str">
        <f>"170783625"</f>
        <v>170783625</v>
      </c>
      <c r="B1145" t="str">
        <f>"EHPAD DE SAINT-MARTIN"</f>
        <v>EHPAD DE SAINT-MARTIN</v>
      </c>
      <c r="C1145" t="s">
        <v>70</v>
      </c>
    </row>
    <row r="1146" spans="1:3" x14ac:dyDescent="0.25">
      <c r="A1146" t="str">
        <f>"170784169"</f>
        <v>170784169</v>
      </c>
      <c r="B1146" t="str">
        <f>"EHPAD LES JARDINS DES TILLEULS"</f>
        <v>EHPAD LES JARDINS DES TILLEULS</v>
      </c>
      <c r="C1146" t="s">
        <v>70</v>
      </c>
    </row>
    <row r="1147" spans="1:3" x14ac:dyDescent="0.25">
      <c r="A1147" t="str">
        <f>"170784185"</f>
        <v>170784185</v>
      </c>
      <c r="B1147" t="str">
        <f>"EHPAD DOMAINE DE ROMPSAY"</f>
        <v>EHPAD DOMAINE DE ROMPSAY</v>
      </c>
      <c r="C1147" t="s">
        <v>70</v>
      </c>
    </row>
    <row r="1148" spans="1:3" x14ac:dyDescent="0.25">
      <c r="A1148" t="str">
        <f>"170784326"</f>
        <v>170784326</v>
      </c>
      <c r="B1148" t="str">
        <f>"EHPAD - AQUITANIA (CH SAINTONGE)"</f>
        <v>EHPAD - AQUITANIA (CH SAINTONGE)</v>
      </c>
      <c r="C1148" t="s">
        <v>70</v>
      </c>
    </row>
    <row r="1149" spans="1:3" x14ac:dyDescent="0.25">
      <c r="A1149" t="str">
        <f>"170784334"</f>
        <v>170784334</v>
      </c>
      <c r="B1149" t="str">
        <f>"EHPAD RESIDENCE L'OMBRIERE"</f>
        <v>EHPAD RESIDENCE L'OMBRIERE</v>
      </c>
      <c r="C1149" t="s">
        <v>70</v>
      </c>
    </row>
    <row r="1150" spans="1:3" x14ac:dyDescent="0.25">
      <c r="A1150" t="str">
        <f>"170784870"</f>
        <v>170784870</v>
      </c>
      <c r="B1150" t="str">
        <f>"PUV RESIDENCE LA DECHANDERIE"</f>
        <v>PUV RESIDENCE LA DECHANDERIE</v>
      </c>
      <c r="C1150" t="s">
        <v>70</v>
      </c>
    </row>
    <row r="1151" spans="1:3" x14ac:dyDescent="0.25">
      <c r="A1151" t="str">
        <f>"170788848"</f>
        <v>170788848</v>
      </c>
      <c r="B1151" t="str">
        <f>"EHPAD JARDINS DE JOVINIUS"</f>
        <v>EHPAD JARDINS DE JOVINIUS</v>
      </c>
      <c r="C1151" t="s">
        <v>70</v>
      </c>
    </row>
    <row r="1152" spans="1:3" x14ac:dyDescent="0.25">
      <c r="A1152" t="str">
        <f>"170791180"</f>
        <v>170791180</v>
      </c>
      <c r="B1152" t="str">
        <f>"EHPAD P - CH ST-PIERRE D'OLERON"</f>
        <v>EHPAD P - CH ST-PIERRE D'OLERON</v>
      </c>
      <c r="C1152" t="s">
        <v>70</v>
      </c>
    </row>
    <row r="1153" spans="1:3" x14ac:dyDescent="0.25">
      <c r="A1153" t="str">
        <f>"170791198"</f>
        <v>170791198</v>
      </c>
      <c r="B1153" t="str">
        <f>"EHPAD DU CH MARENNES"</f>
        <v>EHPAD DU CH MARENNES</v>
      </c>
      <c r="C1153" t="s">
        <v>70</v>
      </c>
    </row>
    <row r="1154" spans="1:3" x14ac:dyDescent="0.25">
      <c r="A1154" t="str">
        <f>"170791263"</f>
        <v>170791263</v>
      </c>
      <c r="B1154" t="str">
        <f>"EHPAD - LES BRUYERES - CH BOSCAMNANT"</f>
        <v>EHPAD - LES BRUYERES - CH BOSCAMNANT</v>
      </c>
      <c r="C1154" t="s">
        <v>70</v>
      </c>
    </row>
    <row r="1155" spans="1:3" x14ac:dyDescent="0.25">
      <c r="A1155" t="str">
        <f>"170791289"</f>
        <v>170791289</v>
      </c>
      <c r="B1155" t="str">
        <f>"EHPAD VAL DE BOUTONNE - CH ST-JEAN"</f>
        <v>EHPAD VAL DE BOUTONNE - CH ST-JEAN</v>
      </c>
      <c r="C1155" t="s">
        <v>70</v>
      </c>
    </row>
    <row r="1156" spans="1:3" x14ac:dyDescent="0.25">
      <c r="A1156" t="str">
        <f>"170791297"</f>
        <v>170791297</v>
      </c>
      <c r="B1156" t="str">
        <f>"EHPAD - CH ROCHEFORT"</f>
        <v>EHPAD - CH ROCHEFORT</v>
      </c>
      <c r="C1156" t="s">
        <v>70</v>
      </c>
    </row>
    <row r="1157" spans="1:3" x14ac:dyDescent="0.25">
      <c r="A1157" t="str">
        <f>"170791339"</f>
        <v>170791339</v>
      </c>
      <c r="B1157" t="str">
        <f>"EHPAD RESIDENCE LES MINIMES"</f>
        <v>EHPAD RESIDENCE LES MINIMES</v>
      </c>
      <c r="C1157" t="s">
        <v>70</v>
      </c>
    </row>
    <row r="1158" spans="1:3" x14ac:dyDescent="0.25">
      <c r="A1158" t="str">
        <f>"170791347"</f>
        <v>170791347</v>
      </c>
      <c r="B1158" t="str">
        <f>"EHPAD RESIDENCE LE DOMAINE"</f>
        <v>EHPAD RESIDENCE LE DOMAINE</v>
      </c>
      <c r="C1158" t="s">
        <v>70</v>
      </c>
    </row>
    <row r="1159" spans="1:3" x14ac:dyDescent="0.25">
      <c r="A1159" t="str">
        <f>"170794994"</f>
        <v>170794994</v>
      </c>
      <c r="B1159" t="str">
        <f>"EHPAD - RESID. MARIE D'ALBRET"</f>
        <v>EHPAD - RESID. MARIE D'ALBRET</v>
      </c>
      <c r="C1159" t="s">
        <v>70</v>
      </c>
    </row>
    <row r="1160" spans="1:3" x14ac:dyDescent="0.25">
      <c r="A1160" t="str">
        <f>"170795017"</f>
        <v>170795017</v>
      </c>
      <c r="B1160" t="str">
        <f>"EHPAD - RESIDENCE LA POMMERAIE"</f>
        <v>EHPAD - RESIDENCE LA POMMERAIE</v>
      </c>
      <c r="C1160" t="s">
        <v>70</v>
      </c>
    </row>
    <row r="1161" spans="1:3" x14ac:dyDescent="0.25">
      <c r="A1161" t="str">
        <f>"170795090"</f>
        <v>170795090</v>
      </c>
      <c r="B1161" t="str">
        <f>"EHPAD LES JARDINS D'IROISE"</f>
        <v>EHPAD LES JARDINS D'IROISE</v>
      </c>
      <c r="C1161" t="s">
        <v>70</v>
      </c>
    </row>
    <row r="1162" spans="1:3" x14ac:dyDescent="0.25">
      <c r="A1162" t="str">
        <f>"170795355"</f>
        <v>170795355</v>
      </c>
      <c r="B1162" t="str">
        <f>"EHPAD LES PERVENCHES"</f>
        <v>EHPAD LES PERVENCHES</v>
      </c>
      <c r="C1162" t="s">
        <v>70</v>
      </c>
    </row>
    <row r="1163" spans="1:3" x14ac:dyDescent="0.25">
      <c r="A1163" t="str">
        <f>"170795660"</f>
        <v>170795660</v>
      </c>
      <c r="B1163" t="str">
        <f>"EHPAD RESIDENCE L'OCEANE"</f>
        <v>EHPAD RESIDENCE L'OCEANE</v>
      </c>
      <c r="C1163" t="s">
        <v>70</v>
      </c>
    </row>
    <row r="1164" spans="1:3" x14ac:dyDescent="0.25">
      <c r="A1164" t="str">
        <f>"170799753"</f>
        <v>170799753</v>
      </c>
      <c r="B1164" t="str">
        <f>"EHPAD RESIDENCE SUD-SAINTONGE"</f>
        <v>EHPAD RESIDENCE SUD-SAINTONGE</v>
      </c>
      <c r="C1164" t="s">
        <v>70</v>
      </c>
    </row>
    <row r="1165" spans="1:3" x14ac:dyDescent="0.25">
      <c r="A1165" t="str">
        <f>"170799837"</f>
        <v>170799837</v>
      </c>
      <c r="B1165" t="str">
        <f>"PUV - RESIDENCE LA ROSERAIE"</f>
        <v>PUV - RESIDENCE LA ROSERAIE</v>
      </c>
      <c r="C1165" t="s">
        <v>70</v>
      </c>
    </row>
    <row r="1166" spans="1:3" x14ac:dyDescent="0.25">
      <c r="A1166" t="str">
        <f>"170800346"</f>
        <v>170800346</v>
      </c>
      <c r="B1166" t="str">
        <f>"EHPAD S - CH ST-PIERRE D'OLERON"</f>
        <v>EHPAD S - CH ST-PIERRE D'OLERON</v>
      </c>
      <c r="C1166" t="s">
        <v>70</v>
      </c>
    </row>
    <row r="1167" spans="1:3" x14ac:dyDescent="0.25">
      <c r="A1167" t="str">
        <f>"170800437"</f>
        <v>170800437</v>
      </c>
      <c r="B1167" t="str">
        <f>"EHPAD L'OUCHE DES CARMES"</f>
        <v>EHPAD L'OUCHE DES CARMES</v>
      </c>
      <c r="C1167" t="s">
        <v>70</v>
      </c>
    </row>
    <row r="1168" spans="1:3" x14ac:dyDescent="0.25">
      <c r="A1168" t="str">
        <f>"170800726"</f>
        <v>170800726</v>
      </c>
      <c r="B1168" t="str">
        <f>"EHPAD RESIDENCE DU BOIS LONG"</f>
        <v>EHPAD RESIDENCE DU BOIS LONG</v>
      </c>
      <c r="C1168" t="s">
        <v>70</v>
      </c>
    </row>
    <row r="1169" spans="1:3" x14ac:dyDescent="0.25">
      <c r="A1169" t="str">
        <f>"170800809"</f>
        <v>170800809</v>
      </c>
      <c r="B1169" t="str">
        <f>"EHPAD - RESIDENCE L'AUBE"</f>
        <v>EHPAD - RESIDENCE L'AUBE</v>
      </c>
      <c r="C1169" t="s">
        <v>70</v>
      </c>
    </row>
    <row r="1170" spans="1:3" x14ac:dyDescent="0.25">
      <c r="A1170" t="str">
        <f>"170801021"</f>
        <v>170801021</v>
      </c>
      <c r="B1170" t="str">
        <f>"EHPAD - LES BRISES MARINES"</f>
        <v>EHPAD - LES BRISES MARINES</v>
      </c>
      <c r="C1170" t="s">
        <v>70</v>
      </c>
    </row>
    <row r="1171" spans="1:3" x14ac:dyDescent="0.25">
      <c r="A1171" t="str">
        <f>"170801195"</f>
        <v>170801195</v>
      </c>
      <c r="B1171" t="str">
        <f>"EHPAD LES JARDINS DE LOULAY"</f>
        <v>EHPAD LES JARDINS DE LOULAY</v>
      </c>
      <c r="C1171" t="s">
        <v>70</v>
      </c>
    </row>
    <row r="1172" spans="1:3" x14ac:dyDescent="0.25">
      <c r="A1172" t="str">
        <f>"170801237"</f>
        <v>170801237</v>
      </c>
      <c r="B1172" t="str">
        <f>"EHPAD RESIDENCE LES TAMARIS"</f>
        <v>EHPAD RESIDENCE LES TAMARIS</v>
      </c>
      <c r="C1172" t="s">
        <v>70</v>
      </c>
    </row>
    <row r="1173" spans="1:3" x14ac:dyDescent="0.25">
      <c r="A1173" t="str">
        <f>"170801252"</f>
        <v>170801252</v>
      </c>
      <c r="B1173" t="str">
        <f>"EHPAD LE CLOS DES MURIERS"</f>
        <v>EHPAD LE CLOS DES MURIERS</v>
      </c>
      <c r="C1173" t="s">
        <v>70</v>
      </c>
    </row>
    <row r="1174" spans="1:3" x14ac:dyDescent="0.25">
      <c r="A1174" t="str">
        <f>"170801401"</f>
        <v>170801401</v>
      </c>
      <c r="B1174" t="str">
        <f>"EHPAD RESIDENCE BEAUSEJOUR"</f>
        <v>EHPAD RESIDENCE BEAUSEJOUR</v>
      </c>
      <c r="C1174" t="s">
        <v>70</v>
      </c>
    </row>
    <row r="1175" spans="1:3" x14ac:dyDescent="0.25">
      <c r="A1175" t="str">
        <f>"170801625"</f>
        <v>170801625</v>
      </c>
      <c r="B1175" t="str">
        <f>"PUV DES BORDERIES"</f>
        <v>PUV DES BORDERIES</v>
      </c>
      <c r="C1175" t="s">
        <v>70</v>
      </c>
    </row>
    <row r="1176" spans="1:3" x14ac:dyDescent="0.25">
      <c r="A1176" t="str">
        <f>"170801906"</f>
        <v>170801906</v>
      </c>
      <c r="B1176" t="str">
        <f>"EHPAD RESIDENCE LES 4 SAISONS"</f>
        <v>EHPAD RESIDENCE LES 4 SAISONS</v>
      </c>
      <c r="C1176" t="s">
        <v>70</v>
      </c>
    </row>
    <row r="1177" spans="1:3" x14ac:dyDescent="0.25">
      <c r="A1177" t="str">
        <f>"170802185"</f>
        <v>170802185</v>
      </c>
      <c r="B1177" t="str">
        <f>"EHPAD - RESIDENCE ROSE DES VENTS"</f>
        <v>EHPAD - RESIDENCE ROSE DES VENTS</v>
      </c>
      <c r="C1177" t="s">
        <v>70</v>
      </c>
    </row>
    <row r="1178" spans="1:3" x14ac:dyDescent="0.25">
      <c r="A1178" t="str">
        <f>"170802227"</f>
        <v>170802227</v>
      </c>
      <c r="B1178" t="str">
        <f>"EHPAD LE CLOS DES FONTAINES"</f>
        <v>EHPAD LE CLOS DES FONTAINES</v>
      </c>
      <c r="C1178" t="s">
        <v>70</v>
      </c>
    </row>
    <row r="1179" spans="1:3" x14ac:dyDescent="0.25">
      <c r="A1179" t="str">
        <f>"170802631"</f>
        <v>170802631</v>
      </c>
      <c r="B1179" t="str">
        <f>"EHPAD RESIDENCE LES MARRONNIERS"</f>
        <v>EHPAD RESIDENCE LES MARRONNIERS</v>
      </c>
      <c r="C1179" t="s">
        <v>70</v>
      </c>
    </row>
    <row r="1180" spans="1:3" x14ac:dyDescent="0.25">
      <c r="A1180" t="str">
        <f>"170802961"</f>
        <v>170802961</v>
      </c>
      <c r="B1180" t="str">
        <f>"EHPAD - RESIDENCE DU VERGER MORET"</f>
        <v>EHPAD - RESIDENCE DU VERGER MORET</v>
      </c>
      <c r="C1180" t="s">
        <v>70</v>
      </c>
    </row>
    <row r="1181" spans="1:3" x14ac:dyDescent="0.25">
      <c r="A1181" t="str">
        <f>"170803068"</f>
        <v>170803068</v>
      </c>
      <c r="B1181" t="str">
        <f>"EHPAD MA MAISON"</f>
        <v>EHPAD MA MAISON</v>
      </c>
      <c r="C1181" t="s">
        <v>70</v>
      </c>
    </row>
    <row r="1182" spans="1:3" x14ac:dyDescent="0.25">
      <c r="A1182" t="str">
        <f>"170803118"</f>
        <v>170803118</v>
      </c>
      <c r="B1182" t="str">
        <f>"EHPAD - RESIDENCE LE LOUVOIS"</f>
        <v>EHPAD - RESIDENCE LE LOUVOIS</v>
      </c>
      <c r="C1182" t="s">
        <v>70</v>
      </c>
    </row>
    <row r="1183" spans="1:3" x14ac:dyDescent="0.25">
      <c r="A1183" t="str">
        <f>"170803274"</f>
        <v>170803274</v>
      </c>
      <c r="B1183" t="str">
        <f>"EHPAD RESIDENCE LA ROSERAIE"</f>
        <v>EHPAD RESIDENCE LA ROSERAIE</v>
      </c>
      <c r="C1183" t="s">
        <v>70</v>
      </c>
    </row>
    <row r="1184" spans="1:3" x14ac:dyDescent="0.25">
      <c r="A1184" t="str">
        <f>"170803605"</f>
        <v>170803605</v>
      </c>
      <c r="B1184" t="str">
        <f>"EHPAD - KORIAN LES BEGONIAS"</f>
        <v>EHPAD - KORIAN LES BEGONIAS</v>
      </c>
      <c r="C1184" t="s">
        <v>70</v>
      </c>
    </row>
    <row r="1185" spans="1:3" x14ac:dyDescent="0.25">
      <c r="A1185" t="str">
        <f>"170803647"</f>
        <v>170803647</v>
      </c>
      <c r="B1185" t="str">
        <f>"EHPAD - RESIDENCE VITEAL OLERON"</f>
        <v>EHPAD - RESIDENCE VITEAL OLERON</v>
      </c>
      <c r="C1185" t="s">
        <v>70</v>
      </c>
    </row>
    <row r="1186" spans="1:3" x14ac:dyDescent="0.25">
      <c r="A1186" t="str">
        <f>"170803654"</f>
        <v>170803654</v>
      </c>
      <c r="B1186" t="str">
        <f>"EHPAD LES JARDINS DE SAINTES"</f>
        <v>EHPAD LES JARDINS DE SAINTES</v>
      </c>
      <c r="C1186" t="s">
        <v>70</v>
      </c>
    </row>
    <row r="1187" spans="1:3" x14ac:dyDescent="0.25">
      <c r="A1187" t="str">
        <f>"170803688"</f>
        <v>170803688</v>
      </c>
      <c r="B1187" t="str">
        <f>"EHPAD RESIDENCE LA CHATELLENIE"</f>
        <v>EHPAD RESIDENCE LA CHATELLENIE</v>
      </c>
      <c r="C1187" t="s">
        <v>70</v>
      </c>
    </row>
    <row r="1188" spans="1:3" x14ac:dyDescent="0.25">
      <c r="A1188" t="str">
        <f>"170803696"</f>
        <v>170803696</v>
      </c>
      <c r="B1188" t="str">
        <f>"EHPAD - LES JARDINS DE VOLTONIA"</f>
        <v>EHPAD - LES JARDINS DE VOLTONIA</v>
      </c>
      <c r="C1188" t="s">
        <v>70</v>
      </c>
    </row>
    <row r="1189" spans="1:3" x14ac:dyDescent="0.25">
      <c r="A1189" t="str">
        <f>"170803779"</f>
        <v>170803779</v>
      </c>
      <c r="B1189" t="str">
        <f>"EHPAD RESIDENCE LA TONNELLE"</f>
        <v>EHPAD RESIDENCE LA TONNELLE</v>
      </c>
      <c r="C1189" t="s">
        <v>70</v>
      </c>
    </row>
    <row r="1190" spans="1:3" x14ac:dyDescent="0.25">
      <c r="A1190" t="str">
        <f>"170803787"</f>
        <v>170803787</v>
      </c>
      <c r="B1190" t="str">
        <f>"EHPAD - KORIAN LES AJONCS"</f>
        <v>EHPAD - KORIAN LES AJONCS</v>
      </c>
      <c r="C1190" t="s">
        <v>70</v>
      </c>
    </row>
    <row r="1191" spans="1:3" x14ac:dyDescent="0.25">
      <c r="A1191" t="str">
        <f>"170803878"</f>
        <v>170803878</v>
      </c>
      <c r="B1191" t="str">
        <f>"EHPAD - RESIDENCE LES JARDINS D'IROISE"</f>
        <v>EHPAD - RESIDENCE LES JARDINS D'IROISE</v>
      </c>
      <c r="C1191" t="s">
        <v>70</v>
      </c>
    </row>
    <row r="1192" spans="1:3" x14ac:dyDescent="0.25">
      <c r="A1192" t="str">
        <f>"170803886"</f>
        <v>170803886</v>
      </c>
      <c r="B1192" t="str">
        <f>"EHPAD LE MOLE D'ANGOULINS"</f>
        <v>EHPAD LE MOLE D'ANGOULINS</v>
      </c>
      <c r="C1192" t="s">
        <v>70</v>
      </c>
    </row>
    <row r="1193" spans="1:3" x14ac:dyDescent="0.25">
      <c r="A1193" t="str">
        <f>"170803951"</f>
        <v>170803951</v>
      </c>
      <c r="B1193" t="str">
        <f>"EHPAD RESIDENCE HARMONIE"</f>
        <v>EHPAD RESIDENCE HARMONIE</v>
      </c>
      <c r="C1193" t="s">
        <v>70</v>
      </c>
    </row>
    <row r="1194" spans="1:3" x14ac:dyDescent="0.25">
      <c r="A1194" t="str">
        <f>"170804041"</f>
        <v>170804041</v>
      </c>
      <c r="B1194" t="str">
        <f>"EHPAD SPECIALISE LA GUYARDERIE"</f>
        <v>EHPAD SPECIALISE LA GUYARDERIE</v>
      </c>
      <c r="C1194" t="s">
        <v>70</v>
      </c>
    </row>
    <row r="1195" spans="1:3" x14ac:dyDescent="0.25">
      <c r="A1195" t="str">
        <f>"170804298"</f>
        <v>170804298</v>
      </c>
      <c r="B1195" t="str">
        <f>"EHPAD LA MIRAMBELLE"</f>
        <v>EHPAD LA MIRAMBELLE</v>
      </c>
      <c r="C1195" t="s">
        <v>70</v>
      </c>
    </row>
    <row r="1196" spans="1:3" x14ac:dyDescent="0.25">
      <c r="A1196" t="str">
        <f>"170804363"</f>
        <v>170804363</v>
      </c>
      <c r="B1196" t="str">
        <f>"EHPAD - DOMAINE DU GRAND PRE"</f>
        <v>EHPAD - DOMAINE DU GRAND PRE</v>
      </c>
      <c r="C1196" t="s">
        <v>70</v>
      </c>
    </row>
    <row r="1197" spans="1:3" x14ac:dyDescent="0.25">
      <c r="A1197" t="str">
        <f>"170804413"</f>
        <v>170804413</v>
      </c>
      <c r="B1197" t="str">
        <f>"EHPAD LA PRESQU'ILE"</f>
        <v>EHPAD LA PRESQU'ILE</v>
      </c>
      <c r="C1197" t="s">
        <v>70</v>
      </c>
    </row>
    <row r="1198" spans="1:3" x14ac:dyDescent="0.25">
      <c r="A1198" t="str">
        <f>"170805477"</f>
        <v>170805477</v>
      </c>
      <c r="B1198" t="str">
        <f>"EHPAD LA PROVIDENCE"</f>
        <v>EHPAD LA PROVIDENCE</v>
      </c>
      <c r="C1198" t="s">
        <v>70</v>
      </c>
    </row>
    <row r="1199" spans="1:3" x14ac:dyDescent="0.25">
      <c r="A1199" t="str">
        <f>"170805501"</f>
        <v>170805501</v>
      </c>
      <c r="B1199" t="str">
        <f>"EHPAD RES L'OEILLET DES PINS"</f>
        <v>EHPAD RES L'OEILLET DES PINS</v>
      </c>
      <c r="C1199" t="s">
        <v>70</v>
      </c>
    </row>
    <row r="1200" spans="1:3" x14ac:dyDescent="0.25">
      <c r="A1200" t="str">
        <f>"170805568"</f>
        <v>170805568</v>
      </c>
      <c r="B1200" t="str">
        <f>"EHPAD - RESIDENCE LES PARASOLS"</f>
        <v>EHPAD - RESIDENCE LES PARASOLS</v>
      </c>
      <c r="C1200" t="s">
        <v>70</v>
      </c>
    </row>
    <row r="1201" spans="1:3" x14ac:dyDescent="0.25">
      <c r="A1201" t="str">
        <f>"170805576"</f>
        <v>170805576</v>
      </c>
      <c r="B1201" t="str">
        <f>"EHPAD KORIAN LA COTE SAUVAGE"</f>
        <v>EHPAD KORIAN LA COTE SAUVAGE</v>
      </c>
      <c r="C1201" t="s">
        <v>70</v>
      </c>
    </row>
    <row r="1202" spans="1:3" x14ac:dyDescent="0.25">
      <c r="A1202" t="str">
        <f>"170805642"</f>
        <v>170805642</v>
      </c>
      <c r="B1202" t="str">
        <f>"PUV - RESIDENCE BELLEVUE"</f>
        <v>PUV - RESIDENCE BELLEVUE</v>
      </c>
      <c r="C1202" t="s">
        <v>70</v>
      </c>
    </row>
    <row r="1203" spans="1:3" x14ac:dyDescent="0.25">
      <c r="A1203" t="str">
        <f>"170805667"</f>
        <v>170805667</v>
      </c>
      <c r="B1203" t="str">
        <f>"EHPAD LES JARDINS DE SAINTONGE"</f>
        <v>EHPAD LES JARDINS DE SAINTONGE</v>
      </c>
      <c r="C1203" t="s">
        <v>70</v>
      </c>
    </row>
    <row r="1204" spans="1:3" x14ac:dyDescent="0.25">
      <c r="A1204" t="str">
        <f>"170805691"</f>
        <v>170805691</v>
      </c>
      <c r="B1204" t="str">
        <f>"EHPAD LE JARDIN DES LOGES"</f>
        <v>EHPAD LE JARDIN DES LOGES</v>
      </c>
      <c r="C1204" t="s">
        <v>70</v>
      </c>
    </row>
    <row r="1205" spans="1:3" x14ac:dyDescent="0.25">
      <c r="A1205" t="str">
        <f>"170805758"</f>
        <v>170805758</v>
      </c>
      <c r="B1205" t="str">
        <f>"EHPAD RESIDENCE DU PARC"</f>
        <v>EHPAD RESIDENCE DU PARC</v>
      </c>
      <c r="C1205" t="s">
        <v>70</v>
      </c>
    </row>
    <row r="1206" spans="1:3" x14ac:dyDescent="0.25">
      <c r="A1206" t="str">
        <f>"170805857"</f>
        <v>170805857</v>
      </c>
      <c r="B1206" t="str">
        <f>"EHPAD KORIAN LE RAYON D'OR"</f>
        <v>EHPAD KORIAN LE RAYON D'OR</v>
      </c>
      <c r="C1206" t="s">
        <v>70</v>
      </c>
    </row>
    <row r="1207" spans="1:3" x14ac:dyDescent="0.25">
      <c r="A1207" t="str">
        <f>"170805865"</f>
        <v>170805865</v>
      </c>
      <c r="B1207" t="str">
        <f>"EHPAD - DOMAINE DES HAUTES VARENNES"</f>
        <v>EHPAD - DOMAINE DES HAUTES VARENNES</v>
      </c>
      <c r="C1207" t="s">
        <v>70</v>
      </c>
    </row>
    <row r="1208" spans="1:3" x14ac:dyDescent="0.25">
      <c r="A1208" t="str">
        <f>"180000085"</f>
        <v>180000085</v>
      </c>
      <c r="B1208" t="str">
        <f>"EHPAD CONSTANCE DE DURBOIS"</f>
        <v>EHPAD CONSTANCE DE DURBOIS</v>
      </c>
      <c r="C1208" t="s">
        <v>63</v>
      </c>
    </row>
    <row r="1209" spans="1:3" x14ac:dyDescent="0.25">
      <c r="A1209" t="str">
        <f>"180000101"</f>
        <v>180000101</v>
      </c>
      <c r="B1209" t="str">
        <f>"EHPAD LES ROSES D ARGENT"</f>
        <v>EHPAD LES ROSES D ARGENT</v>
      </c>
      <c r="C1209" t="s">
        <v>63</v>
      </c>
    </row>
    <row r="1210" spans="1:3" x14ac:dyDescent="0.25">
      <c r="A1210" t="str">
        <f>"180000119"</f>
        <v>180000119</v>
      </c>
      <c r="B1210" t="str">
        <f>"EHPAD DE BOULLERET"</f>
        <v>EHPAD DE BOULLERET</v>
      </c>
      <c r="C1210" t="s">
        <v>63</v>
      </c>
    </row>
    <row r="1211" spans="1:3" x14ac:dyDescent="0.25">
      <c r="A1211" t="str">
        <f>"180000127"</f>
        <v>180000127</v>
      </c>
      <c r="B1211" t="str">
        <f>"EHPAD REVENAZ"</f>
        <v>EHPAD REVENAZ</v>
      </c>
      <c r="C1211" t="s">
        <v>63</v>
      </c>
    </row>
    <row r="1212" spans="1:3" x14ac:dyDescent="0.25">
      <c r="A1212" t="str">
        <f>"180000135"</f>
        <v>180000135</v>
      </c>
      <c r="B1212" t="str">
        <f>"EHPAD RESIDENCE DES CEDRES"</f>
        <v>EHPAD RESIDENCE DES CEDRES</v>
      </c>
      <c r="C1212" t="s">
        <v>63</v>
      </c>
    </row>
    <row r="1213" spans="1:3" x14ac:dyDescent="0.25">
      <c r="A1213" t="str">
        <f>"180000143"</f>
        <v>180000143</v>
      </c>
      <c r="B1213" t="str">
        <f>"EHPAD RESIDENCE LES RIVES DE L ARNON"</f>
        <v>EHPAD RESIDENCE LES RIVES DE L ARNON</v>
      </c>
      <c r="C1213" t="s">
        <v>63</v>
      </c>
    </row>
    <row r="1214" spans="1:3" x14ac:dyDescent="0.25">
      <c r="A1214" t="str">
        <f>"180000150"</f>
        <v>180000150</v>
      </c>
      <c r="B1214" t="str">
        <f>"EHPAD LES AUGUSTINS"</f>
        <v>EHPAD LES AUGUSTINS</v>
      </c>
      <c r="C1214" t="s">
        <v>63</v>
      </c>
    </row>
    <row r="1215" spans="1:3" x14ac:dyDescent="0.25">
      <c r="A1215" t="str">
        <f>"180000168"</f>
        <v>180000168</v>
      </c>
      <c r="B1215" t="str">
        <f>"EHPAD LES CHARMILLES"</f>
        <v>EHPAD LES CHARMILLES</v>
      </c>
      <c r="C1215" t="s">
        <v>63</v>
      </c>
    </row>
    <row r="1216" spans="1:3" x14ac:dyDescent="0.25">
      <c r="A1216" t="str">
        <f>"180000192"</f>
        <v>180000192</v>
      </c>
      <c r="B1216" t="str">
        <f>"EHPAD LE RAYON DE SOLEIL"</f>
        <v>EHPAD LE RAYON DE SOLEIL</v>
      </c>
      <c r="C1216" t="s">
        <v>63</v>
      </c>
    </row>
    <row r="1217" spans="1:3" x14ac:dyDescent="0.25">
      <c r="A1217" t="str">
        <f>"180000218"</f>
        <v>180000218</v>
      </c>
      <c r="B1217" t="str">
        <f>"EHPAD ARMAND CARDEUX"</f>
        <v>EHPAD ARMAND CARDEUX</v>
      </c>
      <c r="C1217" t="s">
        <v>63</v>
      </c>
    </row>
    <row r="1218" spans="1:3" x14ac:dyDescent="0.25">
      <c r="A1218" t="str">
        <f>"180000226"</f>
        <v>180000226</v>
      </c>
      <c r="B1218" t="str">
        <f>"EHPAD LE PRE RAS D EAU"</f>
        <v>EHPAD LE PRE RAS D EAU</v>
      </c>
      <c r="C1218" t="s">
        <v>63</v>
      </c>
    </row>
    <row r="1219" spans="1:3" x14ac:dyDescent="0.25">
      <c r="A1219" t="str">
        <f>"180000234"</f>
        <v>180000234</v>
      </c>
      <c r="B1219" t="str">
        <f>"EHPAD RESIDENCE DU PARC"</f>
        <v>EHPAD RESIDENCE DU PARC</v>
      </c>
      <c r="C1219" t="s">
        <v>63</v>
      </c>
    </row>
    <row r="1220" spans="1:3" x14ac:dyDescent="0.25">
      <c r="A1220" t="str">
        <f>"180000242"</f>
        <v>180000242</v>
      </c>
      <c r="B1220" t="str">
        <f>"EHPAD LES FIORETTI"</f>
        <v>EHPAD LES FIORETTI</v>
      </c>
      <c r="C1220" t="s">
        <v>63</v>
      </c>
    </row>
    <row r="1221" spans="1:3" x14ac:dyDescent="0.25">
      <c r="A1221" t="str">
        <f>"180000259"</f>
        <v>180000259</v>
      </c>
      <c r="B1221" t="str">
        <f>"EHPAD CLOS DES BENEDICTINS"</f>
        <v>EHPAD CLOS DES BENEDICTINS</v>
      </c>
      <c r="C1221" t="s">
        <v>63</v>
      </c>
    </row>
    <row r="1222" spans="1:3" x14ac:dyDescent="0.25">
      <c r="A1222" t="str">
        <f>"180000275"</f>
        <v>180000275</v>
      </c>
      <c r="B1222" t="str">
        <f>"EHPAD RESIDENCE ANDRE MAGINOT"</f>
        <v>EHPAD RESIDENCE ANDRE MAGINOT</v>
      </c>
      <c r="C1222" t="s">
        <v>63</v>
      </c>
    </row>
    <row r="1223" spans="1:3" x14ac:dyDescent="0.25">
      <c r="A1223" t="str">
        <f>"180000291"</f>
        <v>180000291</v>
      </c>
      <c r="B1223" t="str">
        <f>"EHPAD LA ROCHERIE"</f>
        <v>EHPAD LA ROCHERIE</v>
      </c>
      <c r="C1223" t="s">
        <v>63</v>
      </c>
    </row>
    <row r="1224" spans="1:3" x14ac:dyDescent="0.25">
      <c r="A1224" t="str">
        <f>"180000424"</f>
        <v>180000424</v>
      </c>
      <c r="B1224" t="str">
        <f>"EHPAD LES RESIDENCES DE BELLEVUE"</f>
        <v>EHPAD LES RESIDENCES DE BELLEVUE</v>
      </c>
      <c r="C1224" t="s">
        <v>63</v>
      </c>
    </row>
    <row r="1225" spans="1:3" x14ac:dyDescent="0.25">
      <c r="A1225" t="str">
        <f>"180002206"</f>
        <v>180002206</v>
      </c>
      <c r="B1225" t="str">
        <f>"EHPAD RESIDENCE SAINT PIERRE"</f>
        <v>EHPAD RESIDENCE SAINT PIERRE</v>
      </c>
      <c r="C1225" t="s">
        <v>63</v>
      </c>
    </row>
    <row r="1226" spans="1:3" x14ac:dyDescent="0.25">
      <c r="A1226" t="str">
        <f>"180002628"</f>
        <v>180002628</v>
      </c>
      <c r="B1226" t="str">
        <f>"EHPAD LES TERRASSES DE BELLEVUE"</f>
        <v>EHPAD LES TERRASSES DE BELLEVUE</v>
      </c>
      <c r="C1226" t="s">
        <v>63</v>
      </c>
    </row>
    <row r="1227" spans="1:3" x14ac:dyDescent="0.25">
      <c r="A1227" t="str">
        <f>"180003378"</f>
        <v>180003378</v>
      </c>
      <c r="B1227" t="str">
        <f>"EHPAD DE LA CROIX DUCHET"</f>
        <v>EHPAD DE LA CROIX DUCHET</v>
      </c>
      <c r="C1227" t="s">
        <v>63</v>
      </c>
    </row>
    <row r="1228" spans="1:3" x14ac:dyDescent="0.25">
      <c r="A1228" t="str">
        <f>"180003469"</f>
        <v>180003469</v>
      </c>
      <c r="B1228" t="str">
        <f>"EHPAD AMBROISE CROIZAT"</f>
        <v>EHPAD AMBROISE CROIZAT</v>
      </c>
      <c r="C1228" t="s">
        <v>63</v>
      </c>
    </row>
    <row r="1229" spans="1:3" x14ac:dyDescent="0.25">
      <c r="A1229" t="str">
        <f>"180004426"</f>
        <v>180004426</v>
      </c>
      <c r="B1229" t="str">
        <f>"EHPAD LES MARRONNIERS"</f>
        <v>EHPAD LES MARRONNIERS</v>
      </c>
      <c r="C1229" t="s">
        <v>63</v>
      </c>
    </row>
    <row r="1230" spans="1:3" x14ac:dyDescent="0.25">
      <c r="A1230" t="str">
        <f>"180004434"</f>
        <v>180004434</v>
      </c>
      <c r="B1230" t="str">
        <f>"EHPAD RESIDENCE LES VALLIERES"</f>
        <v>EHPAD RESIDENCE LES VALLIERES</v>
      </c>
      <c r="C1230" t="s">
        <v>63</v>
      </c>
    </row>
    <row r="1231" spans="1:3" x14ac:dyDescent="0.25">
      <c r="A1231" t="str">
        <f>"180004608"</f>
        <v>180004608</v>
      </c>
      <c r="B1231" t="str">
        <f>"EHPAD RESIDENCE LE JARDIN DES VIGNES"</f>
        <v>EHPAD RESIDENCE LE JARDIN DES VIGNES</v>
      </c>
      <c r="C1231" t="s">
        <v>63</v>
      </c>
    </row>
    <row r="1232" spans="1:3" x14ac:dyDescent="0.25">
      <c r="A1232" t="str">
        <f>"180004616"</f>
        <v>180004616</v>
      </c>
      <c r="B1232" t="str">
        <f>"EHPAD DE SANCERRE"</f>
        <v>EHPAD DE SANCERRE</v>
      </c>
      <c r="C1232" t="s">
        <v>63</v>
      </c>
    </row>
    <row r="1233" spans="1:3" x14ac:dyDescent="0.25">
      <c r="A1233" t="str">
        <f>"180004657"</f>
        <v>180004657</v>
      </c>
      <c r="B1233" t="str">
        <f>"EHPAD LA NOUE"</f>
        <v>EHPAD LA NOUE</v>
      </c>
      <c r="C1233" t="s">
        <v>63</v>
      </c>
    </row>
    <row r="1234" spans="1:3" x14ac:dyDescent="0.25">
      <c r="A1234" t="str">
        <f>"180004665"</f>
        <v>180004665</v>
      </c>
      <c r="B1234" t="str">
        <f>"EHPAD TAILLEGRAIN"</f>
        <v>EHPAD TAILLEGRAIN</v>
      </c>
      <c r="C1234" t="s">
        <v>63</v>
      </c>
    </row>
    <row r="1235" spans="1:3" x14ac:dyDescent="0.25">
      <c r="A1235" t="str">
        <f>"180004848"</f>
        <v>180004848</v>
      </c>
      <c r="B1235" t="str">
        <f>"EHPAD DU CHAMP NADOT"</f>
        <v>EHPAD DU CHAMP NADOT</v>
      </c>
      <c r="C1235" t="s">
        <v>63</v>
      </c>
    </row>
    <row r="1236" spans="1:3" x14ac:dyDescent="0.25">
      <c r="A1236" t="str">
        <f>"180005464"</f>
        <v>180005464</v>
      </c>
      <c r="B1236" t="str">
        <f>"EHPAD LE BLAUDY"</f>
        <v>EHPAD LE BLAUDY</v>
      </c>
      <c r="C1236" t="s">
        <v>63</v>
      </c>
    </row>
    <row r="1237" spans="1:3" x14ac:dyDescent="0.25">
      <c r="A1237" t="str">
        <f>"180005506"</f>
        <v>180005506</v>
      </c>
      <c r="B1237" t="str">
        <f>"EHPAD LA CHAUME"</f>
        <v>EHPAD LA CHAUME</v>
      </c>
      <c r="C1237" t="s">
        <v>63</v>
      </c>
    </row>
    <row r="1238" spans="1:3" x14ac:dyDescent="0.25">
      <c r="A1238" t="str">
        <f>"180005860"</f>
        <v>180005860</v>
      </c>
      <c r="B1238" t="str">
        <f>"EHPAD HOSTELLERIE DU CHATEAU"</f>
        <v>EHPAD HOSTELLERIE DU CHATEAU</v>
      </c>
      <c r="C1238" t="s">
        <v>63</v>
      </c>
    </row>
    <row r="1239" spans="1:3" x14ac:dyDescent="0.25">
      <c r="A1239" t="str">
        <f>"180005969"</f>
        <v>180005969</v>
      </c>
      <c r="B1239" t="str">
        <f>"EHPAD DU VAL D AURON"</f>
        <v>EHPAD DU VAL D AURON</v>
      </c>
      <c r="C1239" t="s">
        <v>63</v>
      </c>
    </row>
    <row r="1240" spans="1:3" x14ac:dyDescent="0.25">
      <c r="A1240" t="str">
        <f>"180006017"</f>
        <v>180006017</v>
      </c>
      <c r="B1240" t="str">
        <f>"EHPAD PORTES DE SOLOGNE(VIVALTO VIE)"</f>
        <v>EHPAD PORTES DE SOLOGNE(VIVALTO VIE)</v>
      </c>
      <c r="C1240" t="s">
        <v>63</v>
      </c>
    </row>
    <row r="1241" spans="1:3" x14ac:dyDescent="0.25">
      <c r="A1241" t="str">
        <f>"180006546"</f>
        <v>180006546</v>
      </c>
      <c r="B1241" t="str">
        <f>"EHPAD KORIAN VILLA DU PRINTEMPS"</f>
        <v>EHPAD KORIAN VILLA DU PRINTEMPS</v>
      </c>
      <c r="C1241" t="s">
        <v>63</v>
      </c>
    </row>
    <row r="1242" spans="1:3" x14ac:dyDescent="0.25">
      <c r="A1242" t="str">
        <f>"180006637"</f>
        <v>180006637</v>
      </c>
      <c r="B1242" t="str">
        <f>"EHPAD DE SURY EN VAUX"</f>
        <v>EHPAD DE SURY EN VAUX</v>
      </c>
      <c r="C1242" t="s">
        <v>63</v>
      </c>
    </row>
    <row r="1243" spans="1:3" x14ac:dyDescent="0.25">
      <c r="A1243" t="str">
        <f>"180007148"</f>
        <v>180007148</v>
      </c>
      <c r="B1243" t="str">
        <f>"EHPAD RESIDENCE DE BOISBELLE"</f>
        <v>EHPAD RESIDENCE DE BOISBELLE</v>
      </c>
      <c r="C1243" t="s">
        <v>63</v>
      </c>
    </row>
    <row r="1244" spans="1:3" x14ac:dyDescent="0.25">
      <c r="A1244" t="str">
        <f>"180007239"</f>
        <v>180007239</v>
      </c>
      <c r="B1244" t="str">
        <f>"EHPAD LES 5 RIVIERES"</f>
        <v>EHPAD LES 5 RIVIERES</v>
      </c>
      <c r="C1244" t="s">
        <v>63</v>
      </c>
    </row>
    <row r="1245" spans="1:3" x14ac:dyDescent="0.25">
      <c r="A1245" t="str">
        <f>"180007429"</f>
        <v>180007429</v>
      </c>
      <c r="B1245" t="str">
        <f>"EHPAD ANTOINE MOREAU"</f>
        <v>EHPAD ANTOINE MOREAU</v>
      </c>
      <c r="C1245" t="s">
        <v>63</v>
      </c>
    </row>
    <row r="1246" spans="1:3" x14ac:dyDescent="0.25">
      <c r="A1246" t="str">
        <f>"180008658"</f>
        <v>180008658</v>
      </c>
      <c r="B1246" t="str">
        <f>"EHPAD LES AMANDIERS"</f>
        <v>EHPAD LES AMANDIERS</v>
      </c>
      <c r="C1246" t="s">
        <v>63</v>
      </c>
    </row>
    <row r="1247" spans="1:3" x14ac:dyDescent="0.25">
      <c r="A1247" t="str">
        <f>"180008666"</f>
        <v>180008666</v>
      </c>
      <c r="B1247" t="str">
        <f>"EHPAD KORIAN LA VALLEE BLEUE"</f>
        <v>EHPAD KORIAN LA VALLEE BLEUE</v>
      </c>
      <c r="C1247" t="s">
        <v>63</v>
      </c>
    </row>
    <row r="1248" spans="1:3" x14ac:dyDescent="0.25">
      <c r="A1248" t="str">
        <f>"180008674"</f>
        <v>180008674</v>
      </c>
      <c r="B1248" t="str">
        <f>"EHPAD ECHO D ANTAN"</f>
        <v>EHPAD ECHO D ANTAN</v>
      </c>
      <c r="C1248" t="s">
        <v>63</v>
      </c>
    </row>
    <row r="1249" spans="1:3" x14ac:dyDescent="0.25">
      <c r="A1249" t="str">
        <f>"180008682"</f>
        <v>180008682</v>
      </c>
      <c r="B1249" t="str">
        <f>"EHPAD LEGENDE D AUTOMNE"</f>
        <v>EHPAD LEGENDE D AUTOMNE</v>
      </c>
      <c r="C1249" t="s">
        <v>63</v>
      </c>
    </row>
    <row r="1250" spans="1:3" x14ac:dyDescent="0.25">
      <c r="A1250" t="str">
        <f>"190000083"</f>
        <v>190000083</v>
      </c>
      <c r="B1250" t="str">
        <f>"EHPAD NEUVIC"</f>
        <v>EHPAD NEUVIC</v>
      </c>
      <c r="C1250" t="s">
        <v>70</v>
      </c>
    </row>
    <row r="1251" spans="1:3" x14ac:dyDescent="0.25">
      <c r="A1251" t="str">
        <f>"190000299"</f>
        <v>190000299</v>
      </c>
      <c r="B1251" t="str">
        <f>"EHPAD ARGENTAT"</f>
        <v>EHPAD ARGENTAT</v>
      </c>
      <c r="C1251" t="s">
        <v>70</v>
      </c>
    </row>
    <row r="1252" spans="1:3" x14ac:dyDescent="0.25">
      <c r="A1252" t="str">
        <f>"190001438"</f>
        <v>190001438</v>
      </c>
      <c r="B1252" t="str">
        <f>"EHPAD LA CHATAIGNERAIE BEYNAT"</f>
        <v>EHPAD LA CHATAIGNERAIE BEYNAT</v>
      </c>
      <c r="C1252" t="s">
        <v>70</v>
      </c>
    </row>
    <row r="1253" spans="1:3" x14ac:dyDescent="0.25">
      <c r="A1253" t="str">
        <f>"190001834"</f>
        <v>190001834</v>
      </c>
      <c r="B1253" t="str">
        <f>"EHPAD DES FONTAINES"</f>
        <v>EHPAD DES FONTAINES</v>
      </c>
      <c r="C1253" t="s">
        <v>70</v>
      </c>
    </row>
    <row r="1254" spans="1:3" x14ac:dyDescent="0.25">
      <c r="A1254" t="str">
        <f>"190002097"</f>
        <v>190002097</v>
      </c>
      <c r="B1254" t="str">
        <f>"EHPAD D'ALLASSAC"</f>
        <v>EHPAD D'ALLASSAC</v>
      </c>
      <c r="C1254" t="s">
        <v>70</v>
      </c>
    </row>
    <row r="1255" spans="1:3" x14ac:dyDescent="0.25">
      <c r="A1255" t="str">
        <f>"190002113"</f>
        <v>190002113</v>
      </c>
      <c r="B1255" t="str">
        <f>"EHPAD CORNIL"</f>
        <v>EHPAD CORNIL</v>
      </c>
      <c r="C1255" t="s">
        <v>70</v>
      </c>
    </row>
    <row r="1256" spans="1:3" x14ac:dyDescent="0.25">
      <c r="A1256" t="str">
        <f>"190002121"</f>
        <v>190002121</v>
      </c>
      <c r="B1256" t="str">
        <f>"EHPAD DE MEYMAC"</f>
        <v>EHPAD DE MEYMAC</v>
      </c>
      <c r="C1256" t="s">
        <v>70</v>
      </c>
    </row>
    <row r="1257" spans="1:3" x14ac:dyDescent="0.25">
      <c r="A1257" t="str">
        <f>"190002139"</f>
        <v>190002139</v>
      </c>
      <c r="B1257" t="str">
        <f>"EHPAD LES MILLE SOURCES"</f>
        <v>EHPAD LES MILLE SOURCES</v>
      </c>
      <c r="C1257" t="s">
        <v>70</v>
      </c>
    </row>
    <row r="1258" spans="1:3" x14ac:dyDescent="0.25">
      <c r="A1258" t="str">
        <f>"190002170"</f>
        <v>190002170</v>
      </c>
      <c r="B1258" t="str">
        <f>"EHPAD DE CORREZE"</f>
        <v>EHPAD DE CORREZE</v>
      </c>
      <c r="C1258" t="s">
        <v>70</v>
      </c>
    </row>
    <row r="1259" spans="1:3" x14ac:dyDescent="0.25">
      <c r="A1259" t="str">
        <f>"190002188"</f>
        <v>190002188</v>
      </c>
      <c r="B1259" t="str">
        <f>"EHPAD ERNEST COUTAUD"</f>
        <v>EHPAD ERNEST COUTAUD</v>
      </c>
      <c r="C1259" t="s">
        <v>70</v>
      </c>
    </row>
    <row r="1260" spans="1:3" x14ac:dyDescent="0.25">
      <c r="A1260" t="str">
        <f>"190002733"</f>
        <v>190002733</v>
      </c>
      <c r="B1260" t="str">
        <f>"EHPAD DE BORT-LES-ORGUES"</f>
        <v>EHPAD DE BORT-LES-ORGUES</v>
      </c>
      <c r="C1260" t="s">
        <v>70</v>
      </c>
    </row>
    <row r="1261" spans="1:3" x14ac:dyDescent="0.25">
      <c r="A1261" t="str">
        <f>"190002964"</f>
        <v>190002964</v>
      </c>
      <c r="B1261" t="str">
        <f>"EHPAD LES JARDINS DE BAGATELLE"</f>
        <v>EHPAD LES JARDINS DE BAGATELLE</v>
      </c>
      <c r="C1261" t="s">
        <v>70</v>
      </c>
    </row>
    <row r="1262" spans="1:3" x14ac:dyDescent="0.25">
      <c r="A1262" t="str">
        <f>"190003665"</f>
        <v>190003665</v>
      </c>
      <c r="B1262" t="str">
        <f>"EHPAD MERLINES"</f>
        <v>EHPAD MERLINES</v>
      </c>
      <c r="C1262" t="s">
        <v>70</v>
      </c>
    </row>
    <row r="1263" spans="1:3" x14ac:dyDescent="0.25">
      <c r="A1263" t="str">
        <f>"190003673"</f>
        <v>190003673</v>
      </c>
      <c r="B1263" t="str">
        <f>"EHPAD CHAMBERET"</f>
        <v>EHPAD CHAMBERET</v>
      </c>
      <c r="C1263" t="s">
        <v>70</v>
      </c>
    </row>
    <row r="1264" spans="1:3" x14ac:dyDescent="0.25">
      <c r="A1264" t="str">
        <f>"190003681"</f>
        <v>190003681</v>
      </c>
      <c r="B1264" t="str">
        <f>"EHPAD BUGEAT"</f>
        <v>EHPAD BUGEAT</v>
      </c>
      <c r="C1264" t="s">
        <v>70</v>
      </c>
    </row>
    <row r="1265" spans="1:3" x14ac:dyDescent="0.25">
      <c r="A1265" t="str">
        <f>"190003699"</f>
        <v>190003699</v>
      </c>
      <c r="B1265" t="str">
        <f>"EHPAD LES PRES DE CHIGNAC"</f>
        <v>EHPAD LES PRES DE CHIGNAC</v>
      </c>
      <c r="C1265" t="s">
        <v>70</v>
      </c>
    </row>
    <row r="1266" spans="1:3" x14ac:dyDescent="0.25">
      <c r="A1266" t="str">
        <f>"190003723"</f>
        <v>190003723</v>
      </c>
      <c r="B1266" t="str">
        <f>"EHPAD UZERCHE"</f>
        <v>EHPAD UZERCHE</v>
      </c>
      <c r="C1266" t="s">
        <v>70</v>
      </c>
    </row>
    <row r="1267" spans="1:3" x14ac:dyDescent="0.25">
      <c r="A1267" t="str">
        <f>"190003731"</f>
        <v>190003731</v>
      </c>
      <c r="B1267" t="str">
        <f>"EHPAD J ET M COLAUD"</f>
        <v>EHPAD J ET M COLAUD</v>
      </c>
      <c r="C1267" t="s">
        <v>70</v>
      </c>
    </row>
    <row r="1268" spans="1:3" x14ac:dyDescent="0.25">
      <c r="A1268" t="str">
        <f>"190003749"</f>
        <v>190003749</v>
      </c>
      <c r="B1268" t="str">
        <f>"EHPAD DE SEILHAC"</f>
        <v>EHPAD DE SEILHAC</v>
      </c>
      <c r="C1268" t="s">
        <v>70</v>
      </c>
    </row>
    <row r="1269" spans="1:3" x14ac:dyDescent="0.25">
      <c r="A1269" t="str">
        <f>"190003756"</f>
        <v>190003756</v>
      </c>
      <c r="B1269" t="str">
        <f>"EHPAD L'OREE DES BOIS"</f>
        <v>EHPAD L'OREE DES BOIS</v>
      </c>
      <c r="C1269" t="s">
        <v>70</v>
      </c>
    </row>
    <row r="1270" spans="1:3" x14ac:dyDescent="0.25">
      <c r="A1270" t="str">
        <f>"190003764"</f>
        <v>190003764</v>
      </c>
      <c r="B1270" t="str">
        <f>"EHPAD MARCILLAC-LA-CROISILLE"</f>
        <v>EHPAD MARCILLAC-LA-CROISILLE</v>
      </c>
      <c r="C1270" t="s">
        <v>70</v>
      </c>
    </row>
    <row r="1271" spans="1:3" x14ac:dyDescent="0.25">
      <c r="A1271" t="str">
        <f>"190003772"</f>
        <v>190003772</v>
      </c>
      <c r="B1271" t="str">
        <f>"EHPAD RESIDENCE DU CLOS JOLI"</f>
        <v>EHPAD RESIDENCE DU CLOS JOLI</v>
      </c>
      <c r="C1271" t="s">
        <v>70</v>
      </c>
    </row>
    <row r="1272" spans="1:3" x14ac:dyDescent="0.25">
      <c r="A1272" t="str">
        <f>"190003780"</f>
        <v>190003780</v>
      </c>
      <c r="B1272" t="str">
        <f>"EHPAD RESIDENCE LES GRANDS PRES"</f>
        <v>EHPAD RESIDENCE LES GRANDS PRES</v>
      </c>
      <c r="C1272" t="s">
        <v>70</v>
      </c>
    </row>
    <row r="1273" spans="1:3" x14ac:dyDescent="0.25">
      <c r="A1273" t="str">
        <f>"190003806"</f>
        <v>190003806</v>
      </c>
      <c r="B1273" t="str">
        <f>"EHPAD DE LAGRAULIERE"</f>
        <v>EHPAD DE LAGRAULIERE</v>
      </c>
      <c r="C1273" t="s">
        <v>70</v>
      </c>
    </row>
    <row r="1274" spans="1:3" x14ac:dyDescent="0.25">
      <c r="A1274" t="str">
        <f>"190003814"</f>
        <v>190003814</v>
      </c>
      <c r="B1274" t="str">
        <f>"EHPAD DONZENAC"</f>
        <v>EHPAD DONZENAC</v>
      </c>
      <c r="C1274" t="s">
        <v>70</v>
      </c>
    </row>
    <row r="1275" spans="1:3" x14ac:dyDescent="0.25">
      <c r="A1275" t="str">
        <f>"190003822"</f>
        <v>190003822</v>
      </c>
      <c r="B1275" t="str">
        <f>"EHPAD CHAMBOULIVE"</f>
        <v>EHPAD CHAMBOULIVE</v>
      </c>
      <c r="C1275" t="s">
        <v>70</v>
      </c>
    </row>
    <row r="1276" spans="1:3" x14ac:dyDescent="0.25">
      <c r="A1276" t="str">
        <f>"190003905"</f>
        <v>190003905</v>
      </c>
      <c r="B1276" t="str">
        <f>"EHPAD DE MANSAC"</f>
        <v>EHPAD DE MANSAC</v>
      </c>
      <c r="C1276" t="s">
        <v>70</v>
      </c>
    </row>
    <row r="1277" spans="1:3" x14ac:dyDescent="0.25">
      <c r="A1277" t="str">
        <f>"190004028"</f>
        <v>190004028</v>
      </c>
      <c r="B1277" t="str">
        <f>"EHPAD SORNAC"</f>
        <v>EHPAD SORNAC</v>
      </c>
      <c r="C1277" t="s">
        <v>70</v>
      </c>
    </row>
    <row r="1278" spans="1:3" x14ac:dyDescent="0.25">
      <c r="A1278" t="str">
        <f>"190004036"</f>
        <v>190004036</v>
      </c>
      <c r="B1278" t="str">
        <f>"EHPAD EGLETONS"</f>
        <v>EHPAD EGLETONS</v>
      </c>
      <c r="C1278" t="s">
        <v>70</v>
      </c>
    </row>
    <row r="1279" spans="1:3" x14ac:dyDescent="0.25">
      <c r="A1279" t="str">
        <f>"190004044"</f>
        <v>190004044</v>
      </c>
      <c r="B1279" t="str">
        <f>"PUV SAINTE-FORTUNADE"</f>
        <v>PUV SAINTE-FORTUNADE</v>
      </c>
      <c r="C1279" t="s">
        <v>70</v>
      </c>
    </row>
    <row r="1280" spans="1:3" x14ac:dyDescent="0.25">
      <c r="A1280" t="str">
        <f>"190004119"</f>
        <v>190004119</v>
      </c>
      <c r="B1280" t="str">
        <f>"EHPAD RESIDENCE LES ECUREUILS"</f>
        <v>EHPAD RESIDENCE LES ECUREUILS</v>
      </c>
      <c r="C1280" t="s">
        <v>70</v>
      </c>
    </row>
    <row r="1281" spans="1:3" x14ac:dyDescent="0.25">
      <c r="A1281" t="str">
        <f>"190005207"</f>
        <v>190005207</v>
      </c>
      <c r="B1281" t="str">
        <f>"EHPAD LES GABARIERS"</f>
        <v>EHPAD LES GABARIERS</v>
      </c>
      <c r="C1281" t="s">
        <v>70</v>
      </c>
    </row>
    <row r="1282" spans="1:3" x14ac:dyDescent="0.25">
      <c r="A1282" t="str">
        <f>"190005231"</f>
        <v>190005231</v>
      </c>
      <c r="B1282" t="str">
        <f>"EHPAD RESIDENCE COMMAIGNAC"</f>
        <v>EHPAD RESIDENCE COMMAIGNAC</v>
      </c>
      <c r="C1282" t="s">
        <v>70</v>
      </c>
    </row>
    <row r="1283" spans="1:3" x14ac:dyDescent="0.25">
      <c r="A1283" t="str">
        <f>"190005520"</f>
        <v>190005520</v>
      </c>
      <c r="B1283" t="str">
        <f>"EHPAD EYGURANDE"</f>
        <v>EHPAD EYGURANDE</v>
      </c>
      <c r="C1283" t="s">
        <v>70</v>
      </c>
    </row>
    <row r="1284" spans="1:3" x14ac:dyDescent="0.25">
      <c r="A1284" t="str">
        <f>"190005652"</f>
        <v>190005652</v>
      </c>
      <c r="B1284" t="str">
        <f>"EHPAD BRIVE"</f>
        <v>EHPAD BRIVE</v>
      </c>
      <c r="C1284" t="s">
        <v>70</v>
      </c>
    </row>
    <row r="1285" spans="1:3" x14ac:dyDescent="0.25">
      <c r="A1285" t="str">
        <f>"190005926"</f>
        <v>190005926</v>
      </c>
      <c r="B1285" t="str">
        <f>"EHPAD CHABRIGNAC"</f>
        <v>EHPAD CHABRIGNAC</v>
      </c>
      <c r="C1285" t="s">
        <v>70</v>
      </c>
    </row>
    <row r="1286" spans="1:3" x14ac:dyDescent="0.25">
      <c r="A1286" t="str">
        <f>"190008128"</f>
        <v>190008128</v>
      </c>
      <c r="B1286" t="str">
        <f>"EHPAD RES NOVEL"</f>
        <v>EHPAD RES NOVEL</v>
      </c>
      <c r="C1286" t="s">
        <v>70</v>
      </c>
    </row>
    <row r="1287" spans="1:3" x14ac:dyDescent="0.25">
      <c r="A1287" t="str">
        <f>"190008169"</f>
        <v>190008169</v>
      </c>
      <c r="B1287" t="str">
        <f>"EHPAD DU PAYS DE BRIVE"</f>
        <v>EHPAD DU PAYS DE BRIVE</v>
      </c>
      <c r="C1287" t="s">
        <v>70</v>
      </c>
    </row>
    <row r="1288" spans="1:3" x14ac:dyDescent="0.25">
      <c r="A1288" t="str">
        <f>"190008508"</f>
        <v>190008508</v>
      </c>
      <c r="B1288" t="str">
        <f>"EHPAD DE NAVES"</f>
        <v>EHPAD DE NAVES</v>
      </c>
      <c r="C1288" t="s">
        <v>70</v>
      </c>
    </row>
    <row r="1289" spans="1:3" x14ac:dyDescent="0.25">
      <c r="A1289" t="str">
        <f>"190010884"</f>
        <v>190010884</v>
      </c>
      <c r="B1289" t="str">
        <f>"EHPAD RES CHATEAU DE COSNAC"</f>
        <v>EHPAD RES CHATEAU DE COSNAC</v>
      </c>
      <c r="C1289" t="s">
        <v>70</v>
      </c>
    </row>
    <row r="1290" spans="1:3" x14ac:dyDescent="0.25">
      <c r="A1290" t="str">
        <f>"190011395"</f>
        <v>190011395</v>
      </c>
      <c r="B1290" t="str">
        <f>"EHPAD DE TULLE"</f>
        <v>EHPAD DE TULLE</v>
      </c>
      <c r="C1290" t="s">
        <v>70</v>
      </c>
    </row>
    <row r="1291" spans="1:3" x14ac:dyDescent="0.25">
      <c r="A1291" t="str">
        <f>"190011544"</f>
        <v>190011544</v>
      </c>
      <c r="B1291" t="str">
        <f>"EHPAD BRIVE - BEL AIR"</f>
        <v>EHPAD BRIVE - BEL AIR</v>
      </c>
      <c r="C1291" t="s">
        <v>70</v>
      </c>
    </row>
    <row r="1292" spans="1:3" x14ac:dyDescent="0.25">
      <c r="A1292" t="str">
        <f>"190011635"</f>
        <v>190011635</v>
      </c>
      <c r="B1292" t="str">
        <f>"EHPAD DE PERPEZAC-LE-NOIR"</f>
        <v>EHPAD DE PERPEZAC-LE-NOIR</v>
      </c>
      <c r="C1292" t="s">
        <v>70</v>
      </c>
    </row>
    <row r="1293" spans="1:3" x14ac:dyDescent="0.25">
      <c r="A1293" t="str">
        <f>"190012369"</f>
        <v>190012369</v>
      </c>
      <c r="B1293" t="str">
        <f>"EHPAD DU PAYS DE BRIVE - SITE MALEMORT"</f>
        <v>EHPAD DU PAYS DE BRIVE - SITE MALEMORT</v>
      </c>
      <c r="C1293" t="s">
        <v>70</v>
      </c>
    </row>
    <row r="1294" spans="1:3" x14ac:dyDescent="0.25">
      <c r="A1294" t="str">
        <f>"210001749"</f>
        <v>210001749</v>
      </c>
      <c r="B1294" t="str">
        <f>"EHPAD LA COTE DOREE"</f>
        <v>EHPAD LA COTE DOREE</v>
      </c>
      <c r="C1294" t="s">
        <v>64</v>
      </c>
    </row>
    <row r="1295" spans="1:3" x14ac:dyDescent="0.25">
      <c r="A1295" t="str">
        <f>"210001848"</f>
        <v>210001848</v>
      </c>
      <c r="B1295" t="str">
        <f>"EHPAD LE DOYENNE DES GRANDS CRUS"</f>
        <v>EHPAD LE DOYENNE DES GRANDS CRUS</v>
      </c>
      <c r="C1295" t="s">
        <v>64</v>
      </c>
    </row>
    <row r="1296" spans="1:3" x14ac:dyDescent="0.25">
      <c r="A1296" t="str">
        <f>"210003349"</f>
        <v>210003349</v>
      </c>
      <c r="B1296" t="str">
        <f>"EHPAD LES JARDINS D'OSIRIS"</f>
        <v>EHPAD LES JARDINS D'OSIRIS</v>
      </c>
      <c r="C1296" t="s">
        <v>64</v>
      </c>
    </row>
    <row r="1297" spans="1:3" x14ac:dyDescent="0.25">
      <c r="A1297" t="str">
        <f>"210005229"</f>
        <v>210005229</v>
      </c>
      <c r="B1297" t="str">
        <f>"EHPAD PIERRE LAROQUE"</f>
        <v>EHPAD PIERRE LAROQUE</v>
      </c>
      <c r="C1297" t="s">
        <v>64</v>
      </c>
    </row>
    <row r="1298" spans="1:3" x14ac:dyDescent="0.25">
      <c r="A1298" t="str">
        <f>"210005849"</f>
        <v>210005849</v>
      </c>
      <c r="B1298" t="str">
        <f>"EHPAD LES TERRASSES DU SUZON"</f>
        <v>EHPAD LES TERRASSES DU SUZON</v>
      </c>
      <c r="C1298" t="s">
        <v>64</v>
      </c>
    </row>
    <row r="1299" spans="1:3" x14ac:dyDescent="0.25">
      <c r="A1299" t="str">
        <f>"210005948"</f>
        <v>210005948</v>
      </c>
      <c r="B1299" t="str">
        <f>"EHPAD RESIDENCE VALMY"</f>
        <v>EHPAD RESIDENCE VALMY</v>
      </c>
      <c r="C1299" t="s">
        <v>64</v>
      </c>
    </row>
    <row r="1300" spans="1:3" x14ac:dyDescent="0.25">
      <c r="A1300" t="str">
        <f>"210006409"</f>
        <v>210006409</v>
      </c>
      <c r="B1300" t="str">
        <f>"EHPAD DU CH DE LA CHARTREUSE"</f>
        <v>EHPAD DU CH DE LA CHARTREUSE</v>
      </c>
      <c r="C1300" t="s">
        <v>64</v>
      </c>
    </row>
    <row r="1301" spans="1:3" x14ac:dyDescent="0.25">
      <c r="A1301" t="str">
        <f>"210007159"</f>
        <v>210007159</v>
      </c>
      <c r="B1301" t="str">
        <f>"EHPAD NOTRE DAME DE LA VISITATION"</f>
        <v>EHPAD NOTRE DAME DE LA VISITATION</v>
      </c>
      <c r="C1301" t="s">
        <v>64</v>
      </c>
    </row>
    <row r="1302" spans="1:3" x14ac:dyDescent="0.25">
      <c r="A1302" t="str">
        <f>"210009957"</f>
        <v>210009957</v>
      </c>
      <c r="B1302" t="str">
        <f>"EHPAD RESIDENCE DES DUCS DE BOURGOGNE"</f>
        <v>EHPAD RESIDENCE DES DUCS DE BOURGOGNE</v>
      </c>
      <c r="C1302" t="s">
        <v>64</v>
      </c>
    </row>
    <row r="1303" spans="1:3" x14ac:dyDescent="0.25">
      <c r="A1303" t="str">
        <f>"210010724"</f>
        <v>210010724</v>
      </c>
      <c r="B1303" t="str">
        <f>"EHPAD LES CASSISSINES"</f>
        <v>EHPAD LES CASSISSINES</v>
      </c>
      <c r="C1303" t="s">
        <v>64</v>
      </c>
    </row>
    <row r="1304" spans="1:3" x14ac:dyDescent="0.25">
      <c r="A1304" t="str">
        <f>"210010732"</f>
        <v>210010732</v>
      </c>
      <c r="B1304" t="str">
        <f>"EHPAD  LE CROMOIS"</f>
        <v>EHPAD  LE CROMOIS</v>
      </c>
      <c r="C1304" t="s">
        <v>64</v>
      </c>
    </row>
    <row r="1305" spans="1:3" x14ac:dyDescent="0.25">
      <c r="A1305" t="str">
        <f>"210010740"</f>
        <v>210010740</v>
      </c>
      <c r="B1305" t="str">
        <f>"EHPAD HORIZON"</f>
        <v>EHPAD HORIZON</v>
      </c>
      <c r="C1305" t="s">
        <v>64</v>
      </c>
    </row>
    <row r="1306" spans="1:3" x14ac:dyDescent="0.25">
      <c r="A1306" t="str">
        <f>"210012563"</f>
        <v>210012563</v>
      </c>
      <c r="B1306" t="str">
        <f>"EHPAD DOMICILE PROTEGE SADI CARNOT"</f>
        <v>EHPAD DOMICILE PROTEGE SADI CARNOT</v>
      </c>
      <c r="C1306" t="s">
        <v>64</v>
      </c>
    </row>
    <row r="1307" spans="1:3" x14ac:dyDescent="0.25">
      <c r="A1307" t="str">
        <f>"210012571"</f>
        <v>210012571</v>
      </c>
      <c r="B1307" t="str">
        <f>"EHPAD DOMICILE PROTEGE PLOMBIERES"</f>
        <v>EHPAD DOMICILE PROTEGE PLOMBIERES</v>
      </c>
      <c r="C1307" t="s">
        <v>64</v>
      </c>
    </row>
    <row r="1308" spans="1:3" x14ac:dyDescent="0.25">
      <c r="A1308" t="str">
        <f>"210012589"</f>
        <v>210012589</v>
      </c>
      <c r="B1308" t="str">
        <f>"EHPAD DOMICILE PROTEGE TALANT"</f>
        <v>EHPAD DOMICILE PROTEGE TALANT</v>
      </c>
      <c r="C1308" t="s">
        <v>64</v>
      </c>
    </row>
    <row r="1309" spans="1:3" x14ac:dyDescent="0.25">
      <c r="A1309" t="str">
        <f>"210780524"</f>
        <v>210780524</v>
      </c>
      <c r="B1309" t="str">
        <f>"EHPAD DE PRECY SOUS THIL"</f>
        <v>EHPAD DE PRECY SOUS THIL</v>
      </c>
      <c r="C1309" t="s">
        <v>64</v>
      </c>
    </row>
    <row r="1310" spans="1:3" x14ac:dyDescent="0.25">
      <c r="A1310" t="str">
        <f>"210780565"</f>
        <v>210780565</v>
      </c>
      <c r="B1310" t="str">
        <f>"EHPAD LA PROVIDENCE"</f>
        <v>EHPAD LA PROVIDENCE</v>
      </c>
      <c r="C1310" t="s">
        <v>64</v>
      </c>
    </row>
    <row r="1311" spans="1:3" x14ac:dyDescent="0.25">
      <c r="A1311" t="str">
        <f>"210780839"</f>
        <v>210780839</v>
      </c>
      <c r="B1311" t="str">
        <f>"RESIDENCE MUTUALISTE LA CHARME"</f>
        <v>RESIDENCE MUTUALISTE LA CHARME</v>
      </c>
      <c r="C1311" t="s">
        <v>64</v>
      </c>
    </row>
    <row r="1312" spans="1:3" x14ac:dyDescent="0.25">
      <c r="A1312" t="str">
        <f>"210780904"</f>
        <v>210780904</v>
      </c>
      <c r="B1312" t="str">
        <f>"EHPAD CORDELIER"</f>
        <v>EHPAD CORDELIER</v>
      </c>
      <c r="C1312" t="s">
        <v>64</v>
      </c>
    </row>
    <row r="1313" spans="1:3" x14ac:dyDescent="0.25">
      <c r="A1313" t="str">
        <f>"210780912"</f>
        <v>210780912</v>
      </c>
      <c r="B1313" t="str">
        <f>"EHPAD DE LAIGNES"</f>
        <v>EHPAD DE LAIGNES</v>
      </c>
      <c r="C1313" t="s">
        <v>64</v>
      </c>
    </row>
    <row r="1314" spans="1:3" x14ac:dyDescent="0.25">
      <c r="A1314" t="str">
        <f>"210780920"</f>
        <v>210780920</v>
      </c>
      <c r="B1314" t="str">
        <f>"EHPAD SAINT SAUVEUR"</f>
        <v>EHPAD SAINT SAUVEUR</v>
      </c>
      <c r="C1314" t="s">
        <v>64</v>
      </c>
    </row>
    <row r="1315" spans="1:3" x14ac:dyDescent="0.25">
      <c r="A1315" t="str">
        <f>"210780938"</f>
        <v>210780938</v>
      </c>
      <c r="B1315" t="str">
        <f>"EHPAD JEANNE PIERRETTE CARNOT"</f>
        <v>EHPAD JEANNE PIERRETTE CARNOT</v>
      </c>
      <c r="C1315" t="s">
        <v>64</v>
      </c>
    </row>
    <row r="1316" spans="1:3" x14ac:dyDescent="0.25">
      <c r="A1316" t="str">
        <f>"210780946"</f>
        <v>210780946</v>
      </c>
      <c r="B1316" t="str">
        <f>"EHPAD LES ARCADES"</f>
        <v>EHPAD LES ARCADES</v>
      </c>
      <c r="C1316" t="s">
        <v>64</v>
      </c>
    </row>
    <row r="1317" spans="1:3" x14ac:dyDescent="0.25">
      <c r="A1317" t="str">
        <f>"210780953"</f>
        <v>210780953</v>
      </c>
      <c r="B1317" t="str">
        <f>"EHPAD LA SAONE"</f>
        <v>EHPAD LA SAONE</v>
      </c>
      <c r="C1317" t="s">
        <v>64</v>
      </c>
    </row>
    <row r="1318" spans="1:3" x14ac:dyDescent="0.25">
      <c r="A1318" t="str">
        <f>"210780961"</f>
        <v>210780961</v>
      </c>
      <c r="B1318" t="str">
        <f>"EHPAD AUGUSTE ARVIER"</f>
        <v>EHPAD AUGUSTE ARVIER</v>
      </c>
      <c r="C1318" t="s">
        <v>64</v>
      </c>
    </row>
    <row r="1319" spans="1:3" x14ac:dyDescent="0.25">
      <c r="A1319" t="str">
        <f>"210781043"</f>
        <v>210781043</v>
      </c>
      <c r="B1319" t="str">
        <f>"EHPAD LES LOGIS DU PARC MOUSSIER"</f>
        <v>EHPAD LES LOGIS DU PARC MOUSSIER</v>
      </c>
      <c r="C1319" t="s">
        <v>64</v>
      </c>
    </row>
    <row r="1320" spans="1:3" x14ac:dyDescent="0.25">
      <c r="A1320" t="str">
        <f>"210781118"</f>
        <v>210781118</v>
      </c>
      <c r="B1320" t="str">
        <f>"EHPAD EPCAPA LES BEGONIAS"</f>
        <v>EHPAD EPCAPA LES BEGONIAS</v>
      </c>
      <c r="C1320" t="s">
        <v>64</v>
      </c>
    </row>
    <row r="1321" spans="1:3" x14ac:dyDescent="0.25">
      <c r="A1321" t="str">
        <f>"210781175"</f>
        <v>210781175</v>
      </c>
      <c r="B1321" t="str">
        <f>"EHPAD SAINT VINCENT DE PAUL"</f>
        <v>EHPAD SAINT VINCENT DE PAUL</v>
      </c>
      <c r="C1321" t="s">
        <v>64</v>
      </c>
    </row>
    <row r="1322" spans="1:3" x14ac:dyDescent="0.25">
      <c r="A1322" t="str">
        <f>"210781449"</f>
        <v>210781449</v>
      </c>
      <c r="B1322" t="str">
        <f>"EHPAD FONTAINE AUX ROSES"</f>
        <v>EHPAD FONTAINE AUX ROSES</v>
      </c>
      <c r="C1322" t="s">
        <v>64</v>
      </c>
    </row>
    <row r="1323" spans="1:3" x14ac:dyDescent="0.25">
      <c r="A1323" t="str">
        <f>"210781456"</f>
        <v>210781456</v>
      </c>
      <c r="B1323" t="str">
        <f>"EHPAD LE CHAMP DE MARS"</f>
        <v>EHPAD LE CHAMP DE MARS</v>
      </c>
      <c r="C1323" t="s">
        <v>64</v>
      </c>
    </row>
    <row r="1324" spans="1:3" x14ac:dyDescent="0.25">
      <c r="A1324" t="str">
        <f>"210781464"</f>
        <v>210781464</v>
      </c>
      <c r="B1324" t="str">
        <f>"EHPAD RESIDENCE DU PARC"</f>
        <v>EHPAD RESIDENCE DU PARC</v>
      </c>
      <c r="C1324" t="s">
        <v>64</v>
      </c>
    </row>
    <row r="1325" spans="1:3" x14ac:dyDescent="0.25">
      <c r="A1325" t="str">
        <f>"210781472"</f>
        <v>210781472</v>
      </c>
      <c r="B1325" t="str">
        <f>"EHPAD LES PERCE-NEIGE"</f>
        <v>EHPAD LES PERCE-NEIGE</v>
      </c>
      <c r="C1325" t="s">
        <v>64</v>
      </c>
    </row>
    <row r="1326" spans="1:3" x14ac:dyDescent="0.25">
      <c r="A1326" t="str">
        <f>"210781522"</f>
        <v>210781522</v>
      </c>
      <c r="B1326" t="str">
        <f>"EHPAD CH HOSP CIVILS BEAUNE HOTEL DIEU"</f>
        <v>EHPAD CH HOSP CIVILS BEAUNE HOTEL DIEU</v>
      </c>
      <c r="C1326" t="s">
        <v>64</v>
      </c>
    </row>
    <row r="1327" spans="1:3" x14ac:dyDescent="0.25">
      <c r="A1327" t="str">
        <f>"210781530"</f>
        <v>210781530</v>
      </c>
      <c r="B1327" t="str">
        <f>"EHPAD CH HOSP CIVILS BEAUNE LA CHARITE"</f>
        <v>EHPAD CH HOSP CIVILS BEAUNE LA CHARITE</v>
      </c>
      <c r="C1327" t="s">
        <v>64</v>
      </c>
    </row>
    <row r="1328" spans="1:3" x14ac:dyDescent="0.25">
      <c r="A1328" t="str">
        <f>"210781589"</f>
        <v>210781589</v>
      </c>
      <c r="B1328" t="str">
        <f>"EHPAD RESID MEDICALISEE DE L AUXOIS"</f>
        <v>EHPAD RESID MEDICALISEE DE L AUXOIS</v>
      </c>
      <c r="C1328" t="s">
        <v>64</v>
      </c>
    </row>
    <row r="1329" spans="1:3" x14ac:dyDescent="0.25">
      <c r="A1329" t="str">
        <f>"210781613"</f>
        <v>210781613</v>
      </c>
      <c r="B1329" t="str">
        <f>"EHPAD ST PHILIBERT"</f>
        <v>EHPAD ST PHILIBERT</v>
      </c>
      <c r="C1329" t="s">
        <v>64</v>
      </c>
    </row>
    <row r="1330" spans="1:3" x14ac:dyDescent="0.25">
      <c r="A1330" t="str">
        <f>"210950010"</f>
        <v>210950010</v>
      </c>
      <c r="B1330" t="str">
        <f>"RESIDENCE JEANNE"</f>
        <v>RESIDENCE JEANNE</v>
      </c>
      <c r="C1330" t="s">
        <v>64</v>
      </c>
    </row>
    <row r="1331" spans="1:3" x14ac:dyDescent="0.25">
      <c r="A1331" t="str">
        <f>"210950028"</f>
        <v>210950028</v>
      </c>
      <c r="B1331" t="str">
        <f>"EHPAD L ESPERANCE"</f>
        <v>EHPAD L ESPERANCE</v>
      </c>
      <c r="C1331" t="s">
        <v>64</v>
      </c>
    </row>
    <row r="1332" spans="1:3" x14ac:dyDescent="0.25">
      <c r="A1332" t="str">
        <f>"210950036"</f>
        <v>210950036</v>
      </c>
      <c r="B1332" t="str">
        <f>"EHPAD LES HORTENSIAS FRED WORMSER"</f>
        <v>EHPAD LES HORTENSIAS FRED WORMSER</v>
      </c>
      <c r="C1332" t="s">
        <v>64</v>
      </c>
    </row>
    <row r="1333" spans="1:3" x14ac:dyDescent="0.25">
      <c r="A1333" t="str">
        <f>"210950051"</f>
        <v>210950051</v>
      </c>
      <c r="B1333" t="str">
        <f>"EHPAD LES VERDAINES"</f>
        <v>EHPAD LES VERDAINES</v>
      </c>
      <c r="C1333" t="s">
        <v>64</v>
      </c>
    </row>
    <row r="1334" spans="1:3" x14ac:dyDescent="0.25">
      <c r="A1334" t="str">
        <f>"210950069"</f>
        <v>210950069</v>
      </c>
      <c r="B1334" t="str">
        <f>"EHPAD SAINT JOSEPH"</f>
        <v>EHPAD SAINT JOSEPH</v>
      </c>
      <c r="C1334" t="s">
        <v>64</v>
      </c>
    </row>
    <row r="1335" spans="1:3" x14ac:dyDescent="0.25">
      <c r="A1335" t="str">
        <f>"210950077"</f>
        <v>210950077</v>
      </c>
      <c r="B1335" t="str">
        <f>"EHPAD LES FASSOLES"</f>
        <v>EHPAD LES FASSOLES</v>
      </c>
      <c r="C1335" t="s">
        <v>64</v>
      </c>
    </row>
    <row r="1336" spans="1:3" x14ac:dyDescent="0.25">
      <c r="A1336" t="str">
        <f>"210950085"</f>
        <v>210950085</v>
      </c>
      <c r="B1336" t="str">
        <f>"EHPAD LE VAL DE SAONE"</f>
        <v>EHPAD LE VAL DE SAONE</v>
      </c>
      <c r="C1336" t="s">
        <v>64</v>
      </c>
    </row>
    <row r="1337" spans="1:3" x14ac:dyDescent="0.25">
      <c r="A1337" t="str">
        <f>"210950101"</f>
        <v>210950101</v>
      </c>
      <c r="B1337" t="str">
        <f>"EHPAD GEORGE SAND"</f>
        <v>EHPAD GEORGE SAND</v>
      </c>
      <c r="C1337" t="s">
        <v>64</v>
      </c>
    </row>
    <row r="1338" spans="1:3" x14ac:dyDescent="0.25">
      <c r="A1338" t="str">
        <f>"210950119"</f>
        <v>210950119</v>
      </c>
      <c r="B1338" t="str">
        <f>"EHPAD EPCAPA LES MARGUERITES"</f>
        <v>EHPAD EPCAPA LES MARGUERITES</v>
      </c>
      <c r="C1338" t="s">
        <v>64</v>
      </c>
    </row>
    <row r="1339" spans="1:3" x14ac:dyDescent="0.25">
      <c r="A1339" t="str">
        <f>"210950127"</f>
        <v>210950127</v>
      </c>
      <c r="B1339" t="str">
        <f>"EHPAD JULES SAUVAGEOT"</f>
        <v>EHPAD JULES SAUVAGEOT</v>
      </c>
      <c r="C1339" t="s">
        <v>64</v>
      </c>
    </row>
    <row r="1340" spans="1:3" x14ac:dyDescent="0.25">
      <c r="A1340" t="str">
        <f>"210950150"</f>
        <v>210950150</v>
      </c>
      <c r="B1340" t="str">
        <f>"EHPAD ROBERT GRANDJEAN"</f>
        <v>EHPAD ROBERT GRANDJEAN</v>
      </c>
      <c r="C1340" t="s">
        <v>64</v>
      </c>
    </row>
    <row r="1341" spans="1:3" x14ac:dyDescent="0.25">
      <c r="A1341" t="str">
        <f>"210950226"</f>
        <v>210950226</v>
      </c>
      <c r="B1341" t="str">
        <f>"CH - HCO EHPAD VITTEAUX"</f>
        <v>CH - HCO EHPAD VITTEAUX</v>
      </c>
      <c r="C1341" t="s">
        <v>64</v>
      </c>
    </row>
    <row r="1342" spans="1:3" x14ac:dyDescent="0.25">
      <c r="A1342" t="str">
        <f>"210983375"</f>
        <v>210983375</v>
      </c>
      <c r="B1342" t="str">
        <f>"EHPAD LA CROIX VIOLETTE"</f>
        <v>EHPAD LA CROIX VIOLETTE</v>
      </c>
      <c r="C1342" t="s">
        <v>64</v>
      </c>
    </row>
    <row r="1343" spans="1:3" x14ac:dyDescent="0.25">
      <c r="A1343" t="str">
        <f>"210983532"</f>
        <v>210983532</v>
      </c>
      <c r="B1343" t="str">
        <f>"EHPAD CHU DE DIJON CHAMPMAILLOT"</f>
        <v>EHPAD CHU DE DIJON CHAMPMAILLOT</v>
      </c>
      <c r="C1343" t="s">
        <v>64</v>
      </c>
    </row>
    <row r="1344" spans="1:3" x14ac:dyDescent="0.25">
      <c r="A1344" t="str">
        <f>"210983557"</f>
        <v>210983557</v>
      </c>
      <c r="B1344" t="str">
        <f>"CH - HCO EHPAD DU SITE DE MONTBARD"</f>
        <v>CH - HCO EHPAD DU SITE DE MONTBARD</v>
      </c>
      <c r="C1344" t="s">
        <v>64</v>
      </c>
    </row>
    <row r="1345" spans="1:3" x14ac:dyDescent="0.25">
      <c r="A1345" t="str">
        <f>"210983615"</f>
        <v>210983615</v>
      </c>
      <c r="B1345" t="str">
        <f>"EHPAD CH HOSP CIVILS BEAUNE N ROLLIN"</f>
        <v>EHPAD CH HOSP CIVILS BEAUNE N ROLLIN</v>
      </c>
      <c r="C1345" t="s">
        <v>64</v>
      </c>
    </row>
    <row r="1346" spans="1:3" x14ac:dyDescent="0.25">
      <c r="A1346" t="str">
        <f>"210983987"</f>
        <v>210983987</v>
      </c>
      <c r="B1346" t="str">
        <f>"EHPAD EPCAPA LE PORT DU CANAL"</f>
        <v>EHPAD EPCAPA LE PORT DU CANAL</v>
      </c>
      <c r="C1346" t="s">
        <v>64</v>
      </c>
    </row>
    <row r="1347" spans="1:3" x14ac:dyDescent="0.25">
      <c r="A1347" t="str">
        <f>"210984118"</f>
        <v>210984118</v>
      </c>
      <c r="B1347" t="str">
        <f>"EHPAD BELFONTAINE"</f>
        <v>EHPAD BELFONTAINE</v>
      </c>
      <c r="C1347" t="s">
        <v>64</v>
      </c>
    </row>
    <row r="1348" spans="1:3" x14ac:dyDescent="0.25">
      <c r="A1348" t="str">
        <f>"210984399"</f>
        <v>210984399</v>
      </c>
      <c r="B1348" t="str">
        <f>"EHPAD CH HOSP CIVILS BEAUNE SEURRE"</f>
        <v>EHPAD CH HOSP CIVILS BEAUNE SEURRE</v>
      </c>
      <c r="C1348" t="s">
        <v>64</v>
      </c>
    </row>
    <row r="1349" spans="1:3" x14ac:dyDescent="0.25">
      <c r="A1349" t="str">
        <f>"210984407"</f>
        <v>210984407</v>
      </c>
      <c r="B1349" t="str">
        <f>"CH HCO EHPAD SAULIEU"</f>
        <v>CH HCO EHPAD SAULIEU</v>
      </c>
      <c r="C1349" t="s">
        <v>64</v>
      </c>
    </row>
    <row r="1350" spans="1:3" x14ac:dyDescent="0.25">
      <c r="A1350" t="str">
        <f>"210984415"</f>
        <v>210984415</v>
      </c>
      <c r="B1350" t="str">
        <f>"EHPAD CH HOSP CIVILS BEAUNE NUITS ST G"</f>
        <v>EHPAD CH HOSP CIVILS BEAUNE NUITS ST G</v>
      </c>
      <c r="C1350" t="s">
        <v>64</v>
      </c>
    </row>
    <row r="1351" spans="1:3" x14ac:dyDescent="0.25">
      <c r="A1351" t="str">
        <f>"210984423"</f>
        <v>210984423</v>
      </c>
      <c r="B1351" t="str">
        <f>"EHPAD DU CH D'IS-SUR-TILLE"</f>
        <v>EHPAD DU CH D'IS-SUR-TILLE</v>
      </c>
      <c r="C1351" t="s">
        <v>64</v>
      </c>
    </row>
    <row r="1352" spans="1:3" x14ac:dyDescent="0.25">
      <c r="A1352" t="str">
        <f>"210984431"</f>
        <v>210984431</v>
      </c>
      <c r="B1352" t="str">
        <f>"EHPAD DU CH AUXONNE"</f>
        <v>EHPAD DU CH AUXONNE</v>
      </c>
      <c r="C1352" t="s">
        <v>64</v>
      </c>
    </row>
    <row r="1353" spans="1:3" x14ac:dyDescent="0.25">
      <c r="A1353" t="str">
        <f>"210984449"</f>
        <v>210984449</v>
      </c>
      <c r="B1353" t="str">
        <f>"EHPAD CH HOSP CIVILS BEAUNE ARNAY LE D"</f>
        <v>EHPAD CH HOSP CIVILS BEAUNE ARNAY LE D</v>
      </c>
      <c r="C1353" t="s">
        <v>64</v>
      </c>
    </row>
    <row r="1354" spans="1:3" x14ac:dyDescent="0.25">
      <c r="A1354" t="str">
        <f>"210985305"</f>
        <v>210985305</v>
      </c>
      <c r="B1354" t="str">
        <f>"EHPAD LE CLOS DES VIGNES"</f>
        <v>EHPAD LE CLOS DES VIGNES</v>
      </c>
      <c r="C1354" t="s">
        <v>64</v>
      </c>
    </row>
    <row r="1355" spans="1:3" x14ac:dyDescent="0.25">
      <c r="A1355" t="str">
        <f>"210985313"</f>
        <v>210985313</v>
      </c>
      <c r="B1355" t="str">
        <f>"EHPAD DE VIGNE BLANCHE"</f>
        <v>EHPAD DE VIGNE BLANCHE</v>
      </c>
      <c r="C1355" t="s">
        <v>64</v>
      </c>
    </row>
    <row r="1356" spans="1:3" x14ac:dyDescent="0.25">
      <c r="A1356" t="str">
        <f>"210985339"</f>
        <v>210985339</v>
      </c>
      <c r="B1356" t="str">
        <f>"EHPAD LES OPALINES"</f>
        <v>EHPAD LES OPALINES</v>
      </c>
      <c r="C1356" t="s">
        <v>64</v>
      </c>
    </row>
    <row r="1357" spans="1:3" x14ac:dyDescent="0.25">
      <c r="A1357" t="str">
        <f>"210985354"</f>
        <v>210985354</v>
      </c>
      <c r="B1357" t="str">
        <f>"EHPAD LES ROCHES D'ORGERES"</f>
        <v>EHPAD LES ROCHES D'ORGERES</v>
      </c>
      <c r="C1357" t="s">
        <v>64</v>
      </c>
    </row>
    <row r="1358" spans="1:3" x14ac:dyDescent="0.25">
      <c r="A1358" t="str">
        <f>"210985362"</f>
        <v>210985362</v>
      </c>
      <c r="B1358" t="str">
        <f>"EHPAD MARCEL JACQUELINET"</f>
        <v>EHPAD MARCEL JACQUELINET</v>
      </c>
      <c r="C1358" t="s">
        <v>64</v>
      </c>
    </row>
    <row r="1359" spans="1:3" x14ac:dyDescent="0.25">
      <c r="A1359" t="str">
        <f>"210985446"</f>
        <v>210985446</v>
      </c>
      <c r="B1359" t="str">
        <f>"EHPAD CH HCO SITE DE CHATILLON"</f>
        <v>EHPAD CH HCO SITE DE CHATILLON</v>
      </c>
      <c r="C1359" t="s">
        <v>64</v>
      </c>
    </row>
    <row r="1360" spans="1:3" x14ac:dyDescent="0.25">
      <c r="A1360" t="str">
        <f>"210985750"</f>
        <v>210985750</v>
      </c>
      <c r="B1360" t="str">
        <f>"EHPAD LACORDAIRE"</f>
        <v>EHPAD LACORDAIRE</v>
      </c>
      <c r="C1360" t="s">
        <v>64</v>
      </c>
    </row>
    <row r="1361" spans="1:3" x14ac:dyDescent="0.25">
      <c r="A1361" t="str">
        <f>"210986170"</f>
        <v>210986170</v>
      </c>
      <c r="B1361" t="str">
        <f>"EHPAD LES OPALINES"</f>
        <v>EHPAD LES OPALINES</v>
      </c>
      <c r="C1361" t="s">
        <v>64</v>
      </c>
    </row>
    <row r="1362" spans="1:3" x14ac:dyDescent="0.25">
      <c r="A1362" t="str">
        <f>"210986188"</f>
        <v>210986188</v>
      </c>
      <c r="B1362" t="str">
        <f>"EHPAD L'ETE INDIEN"</f>
        <v>EHPAD L'ETE INDIEN</v>
      </c>
      <c r="C1362" t="s">
        <v>64</v>
      </c>
    </row>
    <row r="1363" spans="1:3" x14ac:dyDescent="0.25">
      <c r="A1363" t="str">
        <f>"210986220"</f>
        <v>210986220</v>
      </c>
      <c r="B1363" t="str">
        <f>"EHPAD LES NYMPHEAS"</f>
        <v>EHPAD LES NYMPHEAS</v>
      </c>
      <c r="C1363" t="s">
        <v>64</v>
      </c>
    </row>
    <row r="1364" spans="1:3" x14ac:dyDescent="0.25">
      <c r="A1364" t="str">
        <f>"210986246"</f>
        <v>210986246</v>
      </c>
      <c r="B1364" t="str">
        <f>"EHPAD LES JARDINS D'ALICE"</f>
        <v>EHPAD LES JARDINS D'ALICE</v>
      </c>
      <c r="C1364" t="s">
        <v>64</v>
      </c>
    </row>
    <row r="1365" spans="1:3" x14ac:dyDescent="0.25">
      <c r="A1365" t="str">
        <f>"210986295"</f>
        <v>210986295</v>
      </c>
      <c r="B1365" t="str">
        <f>"EHPAD SAINT DIDIER"</f>
        <v>EHPAD SAINT DIDIER</v>
      </c>
      <c r="C1365" t="s">
        <v>64</v>
      </c>
    </row>
    <row r="1366" spans="1:3" x14ac:dyDescent="0.25">
      <c r="A1366" t="str">
        <f>"210986493"</f>
        <v>210986493</v>
      </c>
      <c r="B1366" t="str">
        <f>"EHPAD LES CHENEVIERES"</f>
        <v>EHPAD LES CHENEVIERES</v>
      </c>
      <c r="C1366" t="s">
        <v>64</v>
      </c>
    </row>
    <row r="1367" spans="1:3" x14ac:dyDescent="0.25">
      <c r="A1367" t="str">
        <f>"210986584"</f>
        <v>210986584</v>
      </c>
      <c r="B1367" t="str">
        <f>"EHPAD LA COMBE ST VICTOR"</f>
        <v>EHPAD LA COMBE ST VICTOR</v>
      </c>
      <c r="C1367" t="s">
        <v>64</v>
      </c>
    </row>
    <row r="1368" spans="1:3" x14ac:dyDescent="0.25">
      <c r="A1368" t="str">
        <f>"210986600"</f>
        <v>210986600</v>
      </c>
      <c r="B1368" t="str">
        <f>"EHPAD LA MAISON DE THERESE"</f>
        <v>EHPAD LA MAISON DE THERESE</v>
      </c>
      <c r="C1368" t="s">
        <v>64</v>
      </c>
    </row>
    <row r="1369" spans="1:3" x14ac:dyDescent="0.25">
      <c r="A1369" t="str">
        <f>"210986642"</f>
        <v>210986642</v>
      </c>
      <c r="B1369" t="str">
        <f>"EHPAD LES TONNELLES"</f>
        <v>EHPAD LES TONNELLES</v>
      </c>
      <c r="C1369" t="s">
        <v>64</v>
      </c>
    </row>
    <row r="1370" spans="1:3" x14ac:dyDescent="0.25">
      <c r="A1370" t="str">
        <f>"210986667"</f>
        <v>210986667</v>
      </c>
      <c r="B1370" t="str">
        <f>"EHPAD DOMICILE PROTEGE RENAN"</f>
        <v>EHPAD DOMICILE PROTEGE RENAN</v>
      </c>
      <c r="C1370" t="s">
        <v>64</v>
      </c>
    </row>
    <row r="1371" spans="1:3" x14ac:dyDescent="0.25">
      <c r="A1371" t="str">
        <f>"210986808"</f>
        <v>210986808</v>
      </c>
      <c r="B1371" t="str">
        <f>"CH HCO EHPAD ALISE SAINTE REINE"</f>
        <v>CH HCO EHPAD ALISE SAINTE REINE</v>
      </c>
      <c r="C1371" t="s">
        <v>64</v>
      </c>
    </row>
    <row r="1372" spans="1:3" x14ac:dyDescent="0.25">
      <c r="A1372" t="str">
        <f>"210986881"</f>
        <v>210986881</v>
      </c>
      <c r="B1372" t="str">
        <f>"EHPAD RESIDENCE CORONIS"</f>
        <v>EHPAD RESIDENCE CORONIS</v>
      </c>
      <c r="C1372" t="s">
        <v>64</v>
      </c>
    </row>
    <row r="1373" spans="1:3" x14ac:dyDescent="0.25">
      <c r="A1373" t="str">
        <f>"210986923"</f>
        <v>210986923</v>
      </c>
      <c r="B1373" t="str">
        <f>"EHPAD LE HOME DE L'OUCHEROTTE"</f>
        <v>EHPAD LE HOME DE L'OUCHEROTTE</v>
      </c>
      <c r="C1373" t="s">
        <v>64</v>
      </c>
    </row>
    <row r="1374" spans="1:3" x14ac:dyDescent="0.25">
      <c r="A1374" t="str">
        <f>"210987202"</f>
        <v>210987202</v>
      </c>
      <c r="B1374" t="str">
        <f>"EHPAD LA TUILERIE - PIERRE VIRELY"</f>
        <v>EHPAD LA TUILERIE - PIERRE VIRELY</v>
      </c>
      <c r="C1374" t="s">
        <v>64</v>
      </c>
    </row>
    <row r="1375" spans="1:3" x14ac:dyDescent="0.25">
      <c r="A1375" t="str">
        <f>"220000525"</f>
        <v>220000525</v>
      </c>
      <c r="B1375" t="str">
        <f>"EHPAD LA RESIDENCE DU FOUGERAY"</f>
        <v>EHPAD LA RESIDENCE DU FOUGERAY</v>
      </c>
      <c r="C1375" t="s">
        <v>65</v>
      </c>
    </row>
    <row r="1376" spans="1:3" x14ac:dyDescent="0.25">
      <c r="A1376" t="str">
        <f>"220000533"</f>
        <v>220000533</v>
      </c>
      <c r="B1376" t="str">
        <f>"EHPAD STV MONCONTOUR"</f>
        <v>EHPAD STV MONCONTOUR</v>
      </c>
      <c r="C1376" t="s">
        <v>65</v>
      </c>
    </row>
    <row r="1377" spans="1:3" x14ac:dyDescent="0.25">
      <c r="A1377" t="str">
        <f>"220002018"</f>
        <v>220002018</v>
      </c>
      <c r="B1377" t="str">
        <f>"EHPAD MONSEIGNEUR BOUCHE"</f>
        <v>EHPAD MONSEIGNEUR BOUCHE</v>
      </c>
      <c r="C1377" t="s">
        <v>65</v>
      </c>
    </row>
    <row r="1378" spans="1:3" x14ac:dyDescent="0.25">
      <c r="A1378" t="str">
        <f>"220002398"</f>
        <v>220002398</v>
      </c>
      <c r="B1378" t="str">
        <f>"EHPAD GIBLAINE"</f>
        <v>EHPAD GIBLAINE</v>
      </c>
      <c r="C1378" t="s">
        <v>65</v>
      </c>
    </row>
    <row r="1379" spans="1:3" x14ac:dyDescent="0.25">
      <c r="A1379" t="str">
        <f>"220002406"</f>
        <v>220002406</v>
      </c>
      <c r="B1379" t="str">
        <f>"MAISON DE RETRAITE EHPAD KER DUDI"</f>
        <v>MAISON DE RETRAITE EHPAD KER DUDI</v>
      </c>
      <c r="C1379" t="s">
        <v>65</v>
      </c>
    </row>
    <row r="1380" spans="1:3" x14ac:dyDescent="0.25">
      <c r="A1380" t="str">
        <f>"220002422"</f>
        <v>220002422</v>
      </c>
      <c r="B1380" t="str">
        <f>"RESIDENCE MAGDELAINE"</f>
        <v>RESIDENCE MAGDELAINE</v>
      </c>
      <c r="C1380" t="s">
        <v>65</v>
      </c>
    </row>
    <row r="1381" spans="1:3" x14ac:dyDescent="0.25">
      <c r="A1381" t="str">
        <f>"220002448"</f>
        <v>220002448</v>
      </c>
      <c r="B1381" t="str">
        <f>"MAISON DE RETRAITE LA CONSOLATION"</f>
        <v>MAISON DE RETRAITE LA CONSOLATION</v>
      </c>
      <c r="C1381" t="s">
        <v>65</v>
      </c>
    </row>
    <row r="1382" spans="1:3" x14ac:dyDescent="0.25">
      <c r="A1382" t="str">
        <f>"220002547"</f>
        <v>220002547</v>
      </c>
      <c r="B1382" t="str">
        <f>"LE CONNETABLE"</f>
        <v>LE CONNETABLE</v>
      </c>
      <c r="C1382" t="s">
        <v>65</v>
      </c>
    </row>
    <row r="1383" spans="1:3" x14ac:dyDescent="0.25">
      <c r="A1383" t="str">
        <f>"220003875"</f>
        <v>220003875</v>
      </c>
      <c r="B1383" t="str">
        <f>"EHPAD TY MAEL"</f>
        <v>EHPAD TY MAEL</v>
      </c>
      <c r="C1383" t="s">
        <v>65</v>
      </c>
    </row>
    <row r="1384" spans="1:3" x14ac:dyDescent="0.25">
      <c r="A1384" t="str">
        <f>"220003909"</f>
        <v>220003909</v>
      </c>
      <c r="B1384" t="str">
        <f>"EHPAD RESIDENCE LES GENETS"</f>
        <v>EHPAD RESIDENCE LES GENETS</v>
      </c>
      <c r="C1384" t="s">
        <v>65</v>
      </c>
    </row>
    <row r="1385" spans="1:3" x14ac:dyDescent="0.25">
      <c r="A1385" t="str">
        <f>"220003917"</f>
        <v>220003917</v>
      </c>
      <c r="B1385" t="str">
        <f>"EHPAD RESIDENCE AN HEOL"</f>
        <v>EHPAD RESIDENCE AN HEOL</v>
      </c>
      <c r="C1385" t="s">
        <v>65</v>
      </c>
    </row>
    <row r="1386" spans="1:3" x14ac:dyDescent="0.25">
      <c r="A1386" t="str">
        <f>"220003925"</f>
        <v>220003925</v>
      </c>
      <c r="B1386" t="str">
        <f>"RESIDENCE DU LEFF"</f>
        <v>RESIDENCE DU LEFF</v>
      </c>
      <c r="C1386" t="s">
        <v>65</v>
      </c>
    </row>
    <row r="1387" spans="1:3" x14ac:dyDescent="0.25">
      <c r="A1387" t="str">
        <f>"220003933"</f>
        <v>220003933</v>
      </c>
      <c r="B1387" t="str">
        <f>"EHPAD VERTE VALLEE"</f>
        <v>EHPAD VERTE VALLEE</v>
      </c>
      <c r="C1387" t="s">
        <v>65</v>
      </c>
    </row>
    <row r="1388" spans="1:3" x14ac:dyDescent="0.25">
      <c r="A1388" t="str">
        <f>"220003941"</f>
        <v>220003941</v>
      </c>
      <c r="B1388" t="str">
        <f>"EHPAD MUTUALISTE LOUIS ADAM"</f>
        <v>EHPAD MUTUALISTE LOUIS ADAM</v>
      </c>
      <c r="C1388" t="s">
        <v>65</v>
      </c>
    </row>
    <row r="1389" spans="1:3" x14ac:dyDescent="0.25">
      <c r="A1389" t="str">
        <f>"220003958"</f>
        <v>220003958</v>
      </c>
      <c r="B1389" t="str">
        <f>"RESIDENCE LE L'IF"</f>
        <v>RESIDENCE LE L'IF</v>
      </c>
      <c r="C1389" t="s">
        <v>65</v>
      </c>
    </row>
    <row r="1390" spans="1:3" x14ac:dyDescent="0.25">
      <c r="A1390" t="str">
        <f>"220003974"</f>
        <v>220003974</v>
      </c>
      <c r="B1390" t="str">
        <f>"EHPAD DE PLOUMILLIAU"</f>
        <v>EHPAD DE PLOUMILLIAU</v>
      </c>
      <c r="C1390" t="s">
        <v>65</v>
      </c>
    </row>
    <row r="1391" spans="1:3" x14ac:dyDescent="0.25">
      <c r="A1391" t="str">
        <f>"220003982"</f>
        <v>220003982</v>
      </c>
      <c r="B1391" t="str">
        <f>"EHPAD FOYER D'ARGOAT"</f>
        <v>EHPAD FOYER D'ARGOAT</v>
      </c>
      <c r="C1391" t="s">
        <v>65</v>
      </c>
    </row>
    <row r="1392" spans="1:3" x14ac:dyDescent="0.25">
      <c r="A1392" t="str">
        <f>"220004006"</f>
        <v>220004006</v>
      </c>
      <c r="B1392" t="str">
        <f>"EHPAD RESIDENCE LES AJONCS D'OR"</f>
        <v>EHPAD RESIDENCE LES AJONCS D'OR</v>
      </c>
      <c r="C1392" t="s">
        <v>65</v>
      </c>
    </row>
    <row r="1393" spans="1:3" x14ac:dyDescent="0.25">
      <c r="A1393" t="str">
        <f>"220004014"</f>
        <v>220004014</v>
      </c>
      <c r="B1393" t="str">
        <f>"EHPAD LE GALL"</f>
        <v>EHPAD LE GALL</v>
      </c>
      <c r="C1393" t="s">
        <v>65</v>
      </c>
    </row>
    <row r="1394" spans="1:3" x14ac:dyDescent="0.25">
      <c r="A1394" t="str">
        <f>"220004022"</f>
        <v>220004022</v>
      </c>
      <c r="B1394" t="str">
        <f>"EHPAD DE COAT LIOU"</f>
        <v>EHPAD DE COAT LIOU</v>
      </c>
      <c r="C1394" t="s">
        <v>65</v>
      </c>
    </row>
    <row r="1395" spans="1:3" x14ac:dyDescent="0.25">
      <c r="A1395" t="str">
        <f>"220004030"</f>
        <v>220004030</v>
      </c>
      <c r="B1395" t="str">
        <f>"EHPAD RESIDENCE GERMAINE LEDAN"</f>
        <v>EHPAD RESIDENCE GERMAINE LEDAN</v>
      </c>
      <c r="C1395" t="s">
        <v>65</v>
      </c>
    </row>
    <row r="1396" spans="1:3" x14ac:dyDescent="0.25">
      <c r="A1396" t="str">
        <f>"220004048"</f>
        <v>220004048</v>
      </c>
      <c r="B1396" t="str">
        <f>"EHPAD DU MENE"</f>
        <v>EHPAD DU MENE</v>
      </c>
      <c r="C1396" t="s">
        <v>65</v>
      </c>
    </row>
    <row r="1397" spans="1:3" x14ac:dyDescent="0.25">
      <c r="A1397" t="str">
        <f>"220004055"</f>
        <v>220004055</v>
      </c>
      <c r="B1397" t="str">
        <f>"EHPAD RESIDENCE LE CLOS HEUZE"</f>
        <v>EHPAD RESIDENCE LE CLOS HEUZE</v>
      </c>
      <c r="C1397" t="s">
        <v>65</v>
      </c>
    </row>
    <row r="1398" spans="1:3" x14ac:dyDescent="0.25">
      <c r="A1398" t="str">
        <f>"220004071"</f>
        <v>220004071</v>
      </c>
      <c r="B1398" t="str">
        <f>"EHPAD DU GAVEL"</f>
        <v>EHPAD DU GAVEL</v>
      </c>
      <c r="C1398" t="s">
        <v>65</v>
      </c>
    </row>
    <row r="1399" spans="1:3" x14ac:dyDescent="0.25">
      <c r="A1399" t="str">
        <f>"220004097"</f>
        <v>220004097</v>
      </c>
      <c r="B1399" t="str">
        <f>"EHPAD LOUIS GAUTHIER"</f>
        <v>EHPAD LOUIS GAUTHIER</v>
      </c>
      <c r="C1399" t="s">
        <v>65</v>
      </c>
    </row>
    <row r="1400" spans="1:3" x14ac:dyDescent="0.25">
      <c r="A1400" t="str">
        <f>"220004113"</f>
        <v>220004113</v>
      </c>
      <c r="B1400" t="str">
        <f>"EHPAD LOUIS MOREL"</f>
        <v>EHPAD LOUIS MOREL</v>
      </c>
      <c r="C1400" t="s">
        <v>65</v>
      </c>
    </row>
    <row r="1401" spans="1:3" x14ac:dyDescent="0.25">
      <c r="A1401" t="str">
        <f>"220004139"</f>
        <v>220004139</v>
      </c>
      <c r="B1401" t="str">
        <f>"MAISON DE RETRAITE MONTBAREIL"</f>
        <v>MAISON DE RETRAITE MONTBAREIL</v>
      </c>
      <c r="C1401" t="s">
        <v>65</v>
      </c>
    </row>
    <row r="1402" spans="1:3" x14ac:dyDescent="0.25">
      <c r="A1402" t="str">
        <f>"220004147"</f>
        <v>220004147</v>
      </c>
      <c r="B1402" t="str">
        <f>"MAISON DE RETRAITE ST JOSEPH"</f>
        <v>MAISON DE RETRAITE ST JOSEPH</v>
      </c>
      <c r="C1402" t="s">
        <v>65</v>
      </c>
    </row>
    <row r="1403" spans="1:3" x14ac:dyDescent="0.25">
      <c r="A1403" t="str">
        <f>"220004154"</f>
        <v>220004154</v>
      </c>
      <c r="B1403" t="str">
        <f>"MAISON DE RETRAITE LE COSQUER"</f>
        <v>MAISON DE RETRAITE LE COSQUER</v>
      </c>
      <c r="C1403" t="s">
        <v>65</v>
      </c>
    </row>
    <row r="1404" spans="1:3" x14ac:dyDescent="0.25">
      <c r="A1404" t="str">
        <f>"220004352"</f>
        <v>220004352</v>
      </c>
      <c r="B1404" t="str">
        <f>"RESIDENCE DU PETIT BILY"</f>
        <v>RESIDENCE DU PETIT BILY</v>
      </c>
      <c r="C1404" t="s">
        <v>65</v>
      </c>
    </row>
    <row r="1405" spans="1:3" x14ac:dyDescent="0.25">
      <c r="A1405" t="str">
        <f>"220004360"</f>
        <v>220004360</v>
      </c>
      <c r="B1405" t="str">
        <f>"EHPAD MELCHONNEC"</f>
        <v>EHPAD MELCHONNEC</v>
      </c>
      <c r="C1405" t="s">
        <v>65</v>
      </c>
    </row>
    <row r="1406" spans="1:3" x14ac:dyDescent="0.25">
      <c r="A1406" t="str">
        <f>"220004378"</f>
        <v>220004378</v>
      </c>
      <c r="B1406" t="str">
        <f>"EHPAD RESIDENCE PRE SUZUN"</f>
        <v>EHPAD RESIDENCE PRE SUZUN</v>
      </c>
      <c r="C1406" t="s">
        <v>65</v>
      </c>
    </row>
    <row r="1407" spans="1:3" x14ac:dyDescent="0.25">
      <c r="A1407" t="str">
        <f>"220004394"</f>
        <v>220004394</v>
      </c>
      <c r="B1407" t="str">
        <f>"RESIDENCE LES GENETS D'OR"</f>
        <v>RESIDENCE LES GENETS D'OR</v>
      </c>
      <c r="C1407" t="s">
        <v>65</v>
      </c>
    </row>
    <row r="1408" spans="1:3" x14ac:dyDescent="0.25">
      <c r="A1408" t="str">
        <f>"220004527"</f>
        <v>220004527</v>
      </c>
      <c r="B1408" t="str">
        <f>"RESIDENCE EHPAD KERSALIC"</f>
        <v>RESIDENCE EHPAD KERSALIC</v>
      </c>
      <c r="C1408" t="s">
        <v>65</v>
      </c>
    </row>
    <row r="1409" spans="1:3" x14ac:dyDescent="0.25">
      <c r="A1409" t="str">
        <f>"220004535"</f>
        <v>220004535</v>
      </c>
      <c r="B1409" t="str">
        <f>"EHPAD LES MOUETTES"</f>
        <v>EHPAD LES MOUETTES</v>
      </c>
      <c r="C1409" t="s">
        <v>65</v>
      </c>
    </row>
    <row r="1410" spans="1:3" x14ac:dyDescent="0.25">
      <c r="A1410" t="str">
        <f>"220004576"</f>
        <v>220004576</v>
      </c>
      <c r="B1410" t="str">
        <f>"EHPAD TI KERJEAN"</f>
        <v>EHPAD TI KERJEAN</v>
      </c>
      <c r="C1410" t="s">
        <v>65</v>
      </c>
    </row>
    <row r="1411" spans="1:3" x14ac:dyDescent="0.25">
      <c r="A1411" t="str">
        <f>"220004584"</f>
        <v>220004584</v>
      </c>
      <c r="B1411" t="str">
        <f>"EHPAD GUY MAROS"</f>
        <v>EHPAD GUY MAROS</v>
      </c>
      <c r="C1411" t="s">
        <v>65</v>
      </c>
    </row>
    <row r="1412" spans="1:3" x14ac:dyDescent="0.25">
      <c r="A1412" t="str">
        <f>"220004592"</f>
        <v>220004592</v>
      </c>
      <c r="B1412" t="str">
        <f>"RESIDENCE MICHEL LAMARCHE"</f>
        <v>RESIDENCE MICHEL LAMARCHE</v>
      </c>
      <c r="C1412" t="s">
        <v>65</v>
      </c>
    </row>
    <row r="1413" spans="1:3" x14ac:dyDescent="0.25">
      <c r="A1413" t="str">
        <f>"220004600"</f>
        <v>220004600</v>
      </c>
      <c r="B1413" t="str">
        <f>"EHPAD RESIDENCE KERMARIA"</f>
        <v>EHPAD RESIDENCE KERMARIA</v>
      </c>
      <c r="C1413" t="s">
        <v>65</v>
      </c>
    </row>
    <row r="1414" spans="1:3" x14ac:dyDescent="0.25">
      <c r="A1414" t="str">
        <f>"220004626"</f>
        <v>220004626</v>
      </c>
      <c r="B1414" t="str">
        <f>"EHPAD RESIDENCE DU LAUNAY"</f>
        <v>EHPAD RESIDENCE DU LAUNAY</v>
      </c>
      <c r="C1414" t="s">
        <v>65</v>
      </c>
    </row>
    <row r="1415" spans="1:3" x14ac:dyDescent="0.25">
      <c r="A1415" t="str">
        <f>"220004667"</f>
        <v>220004667</v>
      </c>
      <c r="B1415" t="str">
        <f>"EHPAD RESIDENCE LA CROIX GREAU"</f>
        <v>EHPAD RESIDENCE LA CROIX GREAU</v>
      </c>
      <c r="C1415" t="s">
        <v>65</v>
      </c>
    </row>
    <row r="1416" spans="1:3" x14ac:dyDescent="0.25">
      <c r="A1416" t="str">
        <f>"220004964"</f>
        <v>220004964</v>
      </c>
      <c r="B1416" t="str">
        <f>"EHPAD RESIDENCE TI AN DISKUIZH"</f>
        <v>EHPAD RESIDENCE TI AN DISKUIZH</v>
      </c>
      <c r="C1416" t="s">
        <v>65</v>
      </c>
    </row>
    <row r="1417" spans="1:3" x14ac:dyDescent="0.25">
      <c r="A1417" t="str">
        <f>"220004972"</f>
        <v>220004972</v>
      </c>
      <c r="B1417" t="str">
        <f>"RESIDENCE YVES BLANCHOT EHPAD"</f>
        <v>RESIDENCE YVES BLANCHOT EHPAD</v>
      </c>
      <c r="C1417" t="s">
        <v>65</v>
      </c>
    </row>
    <row r="1418" spans="1:3" x14ac:dyDescent="0.25">
      <c r="A1418" t="str">
        <f>"220004980"</f>
        <v>220004980</v>
      </c>
      <c r="B1418" t="str">
        <f>"RESIDENCE DU PARC"</f>
        <v>RESIDENCE DU PARC</v>
      </c>
      <c r="C1418" t="s">
        <v>65</v>
      </c>
    </row>
    <row r="1419" spans="1:3" x14ac:dyDescent="0.25">
      <c r="A1419" t="str">
        <f>"220004998"</f>
        <v>220004998</v>
      </c>
      <c r="B1419" t="str">
        <f>"EHPAD KREIZ KER"</f>
        <v>EHPAD KREIZ KER</v>
      </c>
      <c r="C1419" t="s">
        <v>65</v>
      </c>
    </row>
    <row r="1420" spans="1:3" x14ac:dyDescent="0.25">
      <c r="A1420" t="str">
        <f>"220005037"</f>
        <v>220005037</v>
      </c>
      <c r="B1420" t="str">
        <f>"EHPAD JARDIN ANGLAIS CH DINAN"</f>
        <v>EHPAD JARDIN ANGLAIS CH DINAN</v>
      </c>
      <c r="C1420" t="s">
        <v>65</v>
      </c>
    </row>
    <row r="1421" spans="1:3" x14ac:dyDescent="0.25">
      <c r="A1421" t="str">
        <f>"220005052"</f>
        <v>220005052</v>
      </c>
      <c r="B1421" t="str">
        <f>"RESIDENCE LES EMBRUNS"</f>
        <v>RESIDENCE LES EMBRUNS</v>
      </c>
      <c r="C1421" t="s">
        <v>65</v>
      </c>
    </row>
    <row r="1422" spans="1:3" x14ac:dyDescent="0.25">
      <c r="A1422" t="str">
        <f>"220005268"</f>
        <v>220005268</v>
      </c>
      <c r="B1422" t="str">
        <f>"MR PETITES SOEURS DES PAUVRES"</f>
        <v>MR PETITES SOEURS DES PAUVRES</v>
      </c>
      <c r="C1422" t="s">
        <v>65</v>
      </c>
    </row>
    <row r="1423" spans="1:3" x14ac:dyDescent="0.25">
      <c r="A1423" t="str">
        <f>"220005383"</f>
        <v>220005383</v>
      </c>
      <c r="B1423" t="str">
        <f>"MAISON DE RETRAITE NOTRE DAME"</f>
        <v>MAISON DE RETRAITE NOTRE DAME</v>
      </c>
      <c r="C1423" t="s">
        <v>65</v>
      </c>
    </row>
    <row r="1424" spans="1:3" x14ac:dyDescent="0.25">
      <c r="A1424" t="str">
        <f>"220005417"</f>
        <v>220005417</v>
      </c>
      <c r="B1424" t="str">
        <f>"MAISON DE RETRAITE LE CEDRE"</f>
        <v>MAISON DE RETRAITE LE CEDRE</v>
      </c>
      <c r="C1424" t="s">
        <v>65</v>
      </c>
    </row>
    <row r="1425" spans="1:3" x14ac:dyDescent="0.25">
      <c r="A1425" t="str">
        <f>"220005433"</f>
        <v>220005433</v>
      </c>
      <c r="B1425" t="str">
        <f>"EHPAD RESIDENCE PAUL HERNOT"</f>
        <v>EHPAD RESIDENCE PAUL HERNOT</v>
      </c>
      <c r="C1425" t="s">
        <v>65</v>
      </c>
    </row>
    <row r="1426" spans="1:3" x14ac:dyDescent="0.25">
      <c r="A1426" t="str">
        <f>"220005474"</f>
        <v>220005474</v>
      </c>
      <c r="B1426" t="str">
        <f>"EHPAD RESIDENCE SAINT JOSEPH"</f>
        <v>EHPAD RESIDENCE SAINT JOSEPH</v>
      </c>
      <c r="C1426" t="s">
        <v>65</v>
      </c>
    </row>
    <row r="1427" spans="1:3" x14ac:dyDescent="0.25">
      <c r="A1427" t="str">
        <f>"220005524"</f>
        <v>220005524</v>
      </c>
      <c r="B1427" t="str">
        <f>"MAISON DE RETRAITE PAX"</f>
        <v>MAISON DE RETRAITE PAX</v>
      </c>
      <c r="C1427" t="s">
        <v>65</v>
      </c>
    </row>
    <row r="1428" spans="1:3" x14ac:dyDescent="0.25">
      <c r="A1428" t="str">
        <f>"220005540"</f>
        <v>220005540</v>
      </c>
      <c r="B1428" t="str">
        <f>"MAISON DE RETRAITE CH LANNION"</f>
        <v>MAISON DE RETRAITE CH LANNION</v>
      </c>
      <c r="C1428" t="s">
        <v>65</v>
      </c>
    </row>
    <row r="1429" spans="1:3" x14ac:dyDescent="0.25">
      <c r="A1429" t="str">
        <f>"220005581"</f>
        <v>220005581</v>
      </c>
      <c r="B1429" t="str">
        <f>"MAISON DE RETRAITE JOACHIM FLEURY"</f>
        <v>MAISON DE RETRAITE JOACHIM FLEURY</v>
      </c>
      <c r="C1429" t="s">
        <v>65</v>
      </c>
    </row>
    <row r="1430" spans="1:3" x14ac:dyDescent="0.25">
      <c r="A1430" t="str">
        <f>"220005631"</f>
        <v>220005631</v>
      </c>
      <c r="B1430" t="str">
        <f>"EHPAD LES MAGNOLIAS"</f>
        <v>EHPAD LES MAGNOLIAS</v>
      </c>
      <c r="C1430" t="s">
        <v>65</v>
      </c>
    </row>
    <row r="1431" spans="1:3" x14ac:dyDescent="0.25">
      <c r="A1431" t="str">
        <f>"220006407"</f>
        <v>220006407</v>
      </c>
      <c r="B1431" t="str">
        <f>"EHPAD CH TREGUIER"</f>
        <v>EHPAD CH TREGUIER</v>
      </c>
      <c r="C1431" t="s">
        <v>65</v>
      </c>
    </row>
    <row r="1432" spans="1:3" x14ac:dyDescent="0.25">
      <c r="A1432" t="str">
        <f>"220006464"</f>
        <v>220006464</v>
      </c>
      <c r="B1432" t="str">
        <f>"EHPAD DE QUINTIN"</f>
        <v>EHPAD DE QUINTIN</v>
      </c>
      <c r="C1432" t="s">
        <v>65</v>
      </c>
    </row>
    <row r="1433" spans="1:3" x14ac:dyDescent="0.25">
      <c r="A1433" t="str">
        <f>"220006498"</f>
        <v>220006498</v>
      </c>
      <c r="B1433" t="str">
        <f>"EHPAD DE LAMBALLE"</f>
        <v>EHPAD DE LAMBALLE</v>
      </c>
      <c r="C1433" t="s">
        <v>65</v>
      </c>
    </row>
    <row r="1434" spans="1:3" x14ac:dyDescent="0.25">
      <c r="A1434" t="str">
        <f>"220006506"</f>
        <v>220006506</v>
      </c>
      <c r="B1434" t="str">
        <f>"CHCB SITE EHPAD LOUDEAC"</f>
        <v>CHCB SITE EHPAD LOUDEAC</v>
      </c>
      <c r="C1434" t="s">
        <v>65</v>
      </c>
    </row>
    <row r="1435" spans="1:3" x14ac:dyDescent="0.25">
      <c r="A1435" t="str">
        <f>"220006514"</f>
        <v>220006514</v>
      </c>
      <c r="B1435" t="str">
        <f>"MAISON DE RETRAITE CH GUINGAMP"</f>
        <v>MAISON DE RETRAITE CH GUINGAMP</v>
      </c>
      <c r="C1435" t="s">
        <v>65</v>
      </c>
    </row>
    <row r="1436" spans="1:3" x14ac:dyDescent="0.25">
      <c r="A1436" t="str">
        <f>"220006597"</f>
        <v>220006597</v>
      </c>
      <c r="B1436" t="str">
        <f>"EHPAD LES CAPUCINS"</f>
        <v>EHPAD LES CAPUCINS</v>
      </c>
      <c r="C1436" t="s">
        <v>65</v>
      </c>
    </row>
    <row r="1437" spans="1:3" x14ac:dyDescent="0.25">
      <c r="A1437" t="str">
        <f>"220006688"</f>
        <v>220006688</v>
      </c>
      <c r="B1437" t="str">
        <f>"EHPAD BELLE ISLE EN TERRE"</f>
        <v>EHPAD BELLE ISLE EN TERRE</v>
      </c>
      <c r="C1437" t="s">
        <v>65</v>
      </c>
    </row>
    <row r="1438" spans="1:3" x14ac:dyDescent="0.25">
      <c r="A1438" t="str">
        <f>"220006696"</f>
        <v>220006696</v>
      </c>
      <c r="B1438" t="str">
        <f>"MAISON JEANNE GUERNION"</f>
        <v>MAISON JEANNE GUERNION</v>
      </c>
      <c r="C1438" t="s">
        <v>65</v>
      </c>
    </row>
    <row r="1439" spans="1:3" x14ac:dyDescent="0.25">
      <c r="A1439" t="str">
        <f>"220006712"</f>
        <v>220006712</v>
      </c>
      <c r="B1439" t="str">
        <f>"EHPAD L'EMERAUDE"</f>
        <v>EHPAD L'EMERAUDE</v>
      </c>
      <c r="C1439" t="s">
        <v>65</v>
      </c>
    </row>
    <row r="1440" spans="1:3" x14ac:dyDescent="0.25">
      <c r="A1440" t="str">
        <f>"220006738"</f>
        <v>220006738</v>
      </c>
      <c r="B1440" t="str">
        <f>"EHPAD RESIDENCE LA CLAIRIERE"</f>
        <v>EHPAD RESIDENCE LA CLAIRIERE</v>
      </c>
      <c r="C1440" t="s">
        <v>65</v>
      </c>
    </row>
    <row r="1441" spans="1:3" x14ac:dyDescent="0.25">
      <c r="A1441" t="str">
        <f>"220006753"</f>
        <v>220006753</v>
      </c>
      <c r="B1441" t="str">
        <f>"EHPAD DE HENON"</f>
        <v>EHPAD DE HENON</v>
      </c>
      <c r="C1441" t="s">
        <v>65</v>
      </c>
    </row>
    <row r="1442" spans="1:3" x14ac:dyDescent="0.25">
      <c r="A1442" t="str">
        <f>"220006795"</f>
        <v>220006795</v>
      </c>
      <c r="B1442" t="str">
        <f>"EHPAD RESIDENCE DU PRIEURE"</f>
        <v>EHPAD RESIDENCE DU PRIEURE</v>
      </c>
      <c r="C1442" t="s">
        <v>65</v>
      </c>
    </row>
    <row r="1443" spans="1:3" x14ac:dyDescent="0.25">
      <c r="A1443" t="str">
        <f>"220006837"</f>
        <v>220006837</v>
      </c>
      <c r="B1443" t="str">
        <f>"EHPAD RESIDENCE LA VILLENEUVE"</f>
        <v>EHPAD RESIDENCE LA VILLENEUVE</v>
      </c>
      <c r="C1443" t="s">
        <v>65</v>
      </c>
    </row>
    <row r="1444" spans="1:3" x14ac:dyDescent="0.25">
      <c r="A1444" t="str">
        <f>"220006860"</f>
        <v>220006860</v>
      </c>
      <c r="B1444" t="str">
        <f>"MAISON DE RETRAITE LE BOURGNEUF"</f>
        <v>MAISON DE RETRAITE LE BOURGNEUF</v>
      </c>
      <c r="C1444" t="s">
        <v>65</v>
      </c>
    </row>
    <row r="1445" spans="1:3" x14ac:dyDescent="0.25">
      <c r="A1445" t="str">
        <f>"220006878"</f>
        <v>220006878</v>
      </c>
      <c r="B1445" t="str">
        <f>"MAISON DE RETRAITE PLENEE JUGON"</f>
        <v>MAISON DE RETRAITE PLENEE JUGON</v>
      </c>
      <c r="C1445" t="s">
        <v>65</v>
      </c>
    </row>
    <row r="1446" spans="1:3" x14ac:dyDescent="0.25">
      <c r="A1446" t="str">
        <f>"220006910"</f>
        <v>220006910</v>
      </c>
      <c r="B1446" t="str">
        <f>"RESIDENCE EHPAD DE PENVENAN"</f>
        <v>RESIDENCE EHPAD DE PENVENAN</v>
      </c>
      <c r="C1446" t="s">
        <v>65</v>
      </c>
    </row>
    <row r="1447" spans="1:3" x14ac:dyDescent="0.25">
      <c r="A1447" t="str">
        <f>"220006936"</f>
        <v>220006936</v>
      </c>
      <c r="B1447" t="str">
        <f>"EHPAD MUTUALISTE LE CHATELIER"</f>
        <v>EHPAD MUTUALISTE LE CHATELIER</v>
      </c>
      <c r="C1447" t="s">
        <v>65</v>
      </c>
    </row>
    <row r="1448" spans="1:3" x14ac:dyDescent="0.25">
      <c r="A1448" t="str">
        <f>"220007603"</f>
        <v>220007603</v>
      </c>
      <c r="B1448" t="str">
        <f>"RESIDENCE DE L'ORME"</f>
        <v>RESIDENCE DE L'ORME</v>
      </c>
      <c r="C1448" t="s">
        <v>65</v>
      </c>
    </row>
    <row r="1449" spans="1:3" x14ac:dyDescent="0.25">
      <c r="A1449" t="str">
        <f>"220007686"</f>
        <v>220007686</v>
      </c>
      <c r="B1449" t="str">
        <f>"MAISON DE RETRAITE JEANNE D ARC"</f>
        <v>MAISON DE RETRAITE JEANNE D ARC</v>
      </c>
      <c r="C1449" t="s">
        <v>65</v>
      </c>
    </row>
    <row r="1450" spans="1:3" x14ac:dyDescent="0.25">
      <c r="A1450" t="str">
        <f>"220007694"</f>
        <v>220007694</v>
      </c>
      <c r="B1450" t="str">
        <f>"EHPAD MUTUALISTE TI AR RE VUR"</f>
        <v>EHPAD MUTUALISTE TI AR RE VUR</v>
      </c>
      <c r="C1450" t="s">
        <v>65</v>
      </c>
    </row>
    <row r="1451" spans="1:3" x14ac:dyDescent="0.25">
      <c r="A1451" t="str">
        <f>"220007702"</f>
        <v>220007702</v>
      </c>
      <c r="B1451" t="str">
        <f>"EHPAD PERROS GUIREC"</f>
        <v>EHPAD PERROS GUIREC</v>
      </c>
      <c r="C1451" t="s">
        <v>65</v>
      </c>
    </row>
    <row r="1452" spans="1:3" x14ac:dyDescent="0.25">
      <c r="A1452" t="str">
        <f>"220007744"</f>
        <v>220007744</v>
      </c>
      <c r="B1452" t="str">
        <f>"EHPAD MUTUALISTE LES TAMARIS"</f>
        <v>EHPAD MUTUALISTE LES TAMARIS</v>
      </c>
      <c r="C1452" t="s">
        <v>65</v>
      </c>
    </row>
    <row r="1453" spans="1:3" x14ac:dyDescent="0.25">
      <c r="A1453" t="str">
        <f>"220007884"</f>
        <v>220007884</v>
      </c>
      <c r="B1453" t="str">
        <f>"EHPAD ROGER JOUAN"</f>
        <v>EHPAD ROGER JOUAN</v>
      </c>
      <c r="C1453" t="s">
        <v>65</v>
      </c>
    </row>
    <row r="1454" spans="1:3" x14ac:dyDescent="0.25">
      <c r="A1454" t="str">
        <f>"220012892"</f>
        <v>220012892</v>
      </c>
      <c r="B1454" t="str">
        <f>"RESIDENCE LES JARDINS D'ERQUY"</f>
        <v>RESIDENCE LES JARDINS D'ERQUY</v>
      </c>
      <c r="C1454" t="s">
        <v>65</v>
      </c>
    </row>
    <row r="1455" spans="1:3" x14ac:dyDescent="0.25">
      <c r="A1455" t="str">
        <f>"220013064"</f>
        <v>220013064</v>
      </c>
      <c r="B1455" t="str">
        <f>"RESIDENCE KREIZ AR MOR"</f>
        <v>RESIDENCE KREIZ AR MOR</v>
      </c>
      <c r="C1455" t="s">
        <v>65</v>
      </c>
    </row>
    <row r="1456" spans="1:3" x14ac:dyDescent="0.25">
      <c r="A1456" t="str">
        <f>"220013312"</f>
        <v>220013312</v>
      </c>
      <c r="B1456" t="str">
        <f>"MAISON DE RETRAITE BROCELIANDE"</f>
        <v>MAISON DE RETRAITE BROCELIANDE</v>
      </c>
      <c r="C1456" t="s">
        <v>65</v>
      </c>
    </row>
    <row r="1457" spans="1:3" x14ac:dyDescent="0.25">
      <c r="A1457" t="str">
        <f>"220013395"</f>
        <v>220013395</v>
      </c>
      <c r="B1457" t="str">
        <f>"RESIDENCE DE ROQUILIEU"</f>
        <v>RESIDENCE DE ROQUILIEU</v>
      </c>
      <c r="C1457" t="s">
        <v>65</v>
      </c>
    </row>
    <row r="1458" spans="1:3" x14ac:dyDescent="0.25">
      <c r="A1458" t="str">
        <f>"220013403"</f>
        <v>220013403</v>
      </c>
      <c r="B1458" t="str">
        <f>"MAISON DE RETRAITE LE VAL D'OR"</f>
        <v>MAISON DE RETRAITE LE VAL D'OR</v>
      </c>
      <c r="C1458" t="s">
        <v>65</v>
      </c>
    </row>
    <row r="1459" spans="1:3" x14ac:dyDescent="0.25">
      <c r="A1459" t="str">
        <f>"220013627"</f>
        <v>220013627</v>
      </c>
      <c r="B1459" t="str">
        <f>"RESIDENCE EDILYS"</f>
        <v>RESIDENCE EDILYS</v>
      </c>
      <c r="C1459" t="s">
        <v>65</v>
      </c>
    </row>
    <row r="1460" spans="1:3" x14ac:dyDescent="0.25">
      <c r="A1460" t="str">
        <f>"220013890"</f>
        <v>220013890</v>
      </c>
      <c r="B1460" t="str">
        <f>"RESIDENCE LES CHENES"</f>
        <v>RESIDENCE LES CHENES</v>
      </c>
      <c r="C1460" t="s">
        <v>65</v>
      </c>
    </row>
    <row r="1461" spans="1:3" x14ac:dyDescent="0.25">
      <c r="A1461" t="str">
        <f>"220013957"</f>
        <v>220013957</v>
      </c>
      <c r="B1461" t="str">
        <f>"EHPAD BEL ORIENT"</f>
        <v>EHPAD BEL ORIENT</v>
      </c>
      <c r="C1461" t="s">
        <v>65</v>
      </c>
    </row>
    <row r="1462" spans="1:3" x14ac:dyDescent="0.25">
      <c r="A1462" t="str">
        <f>"220013965"</f>
        <v>220013965</v>
      </c>
      <c r="B1462" t="str">
        <f>"EHPAD KERAMBELLEC"</f>
        <v>EHPAD KERAMBELLEC</v>
      </c>
      <c r="C1462" t="s">
        <v>65</v>
      </c>
    </row>
    <row r="1463" spans="1:3" x14ac:dyDescent="0.25">
      <c r="A1463" t="str">
        <f>"220013973"</f>
        <v>220013973</v>
      </c>
      <c r="B1463" t="str">
        <f>"RESIDENCE BEAU CHENE"</f>
        <v>RESIDENCE BEAU CHENE</v>
      </c>
      <c r="C1463" t="s">
        <v>65</v>
      </c>
    </row>
    <row r="1464" spans="1:3" x14ac:dyDescent="0.25">
      <c r="A1464" t="str">
        <f>"220014674"</f>
        <v>220014674</v>
      </c>
      <c r="B1464" t="str">
        <f>"EHPAD MUTUALISTE KERAVALLO"</f>
        <v>EHPAD MUTUALISTE KERAVALLO</v>
      </c>
      <c r="C1464" t="s">
        <v>65</v>
      </c>
    </row>
    <row r="1465" spans="1:3" x14ac:dyDescent="0.25">
      <c r="A1465" t="str">
        <f>"220014690"</f>
        <v>220014690</v>
      </c>
      <c r="B1465" t="str">
        <f>"MAISON DE RETRAITE DE L'ABBAYE"</f>
        <v>MAISON DE RETRAITE DE L'ABBAYE</v>
      </c>
      <c r="C1465" t="s">
        <v>65</v>
      </c>
    </row>
    <row r="1466" spans="1:3" x14ac:dyDescent="0.25">
      <c r="A1466" t="str">
        <f>"220014799"</f>
        <v>220014799</v>
      </c>
      <c r="B1466" t="str">
        <f>"EHPAD MUTUALISTE TI MA ZUD"</f>
        <v>EHPAD MUTUALISTE TI MA ZUD</v>
      </c>
      <c r="C1466" t="s">
        <v>65</v>
      </c>
    </row>
    <row r="1467" spans="1:3" x14ac:dyDescent="0.25">
      <c r="A1467" t="str">
        <f>"220014815"</f>
        <v>220014815</v>
      </c>
      <c r="B1467" t="str">
        <f>"RESIDENCE LES TERRES NEUVAS"</f>
        <v>RESIDENCE LES TERRES NEUVAS</v>
      </c>
      <c r="C1467" t="s">
        <v>65</v>
      </c>
    </row>
    <row r="1468" spans="1:3" x14ac:dyDescent="0.25">
      <c r="A1468" t="str">
        <f>"220014823"</f>
        <v>220014823</v>
      </c>
      <c r="B1468" t="str">
        <f>"EHPAD MUTUALISTE LA COLLINE"</f>
        <v>EHPAD MUTUALISTE LA COLLINE</v>
      </c>
      <c r="C1468" t="s">
        <v>65</v>
      </c>
    </row>
    <row r="1469" spans="1:3" x14ac:dyDescent="0.25">
      <c r="A1469" t="str">
        <f>"220014831"</f>
        <v>220014831</v>
      </c>
      <c r="B1469" t="str">
        <f>"EHPAD MUTUALISTE KER GUEN"</f>
        <v>EHPAD MUTUALISTE KER GUEN</v>
      </c>
      <c r="C1469" t="s">
        <v>65</v>
      </c>
    </row>
    <row r="1470" spans="1:3" x14ac:dyDescent="0.25">
      <c r="A1470" t="str">
        <f>"220014856"</f>
        <v>220014856</v>
      </c>
      <c r="B1470" t="str">
        <f>"RESIDENCE LA TOURELLE D'ARGENT"</f>
        <v>RESIDENCE LA TOURELLE D'ARGENT</v>
      </c>
      <c r="C1470" t="s">
        <v>65</v>
      </c>
    </row>
    <row r="1471" spans="1:3" x14ac:dyDescent="0.25">
      <c r="A1471" t="str">
        <f>"220014898"</f>
        <v>220014898</v>
      </c>
      <c r="B1471" t="str">
        <f>"EHPAD MUTUALISTE TI AN HEOL"</f>
        <v>EHPAD MUTUALISTE TI AN HEOL</v>
      </c>
      <c r="C1471" t="s">
        <v>65</v>
      </c>
    </row>
    <row r="1472" spans="1:3" x14ac:dyDescent="0.25">
      <c r="A1472" t="str">
        <f>"220014997"</f>
        <v>220014997</v>
      </c>
      <c r="B1472" t="str">
        <f>"EHPAD RESIDENCE PREVALLON"</f>
        <v>EHPAD RESIDENCE PREVALLON</v>
      </c>
      <c r="C1472" t="s">
        <v>65</v>
      </c>
    </row>
    <row r="1473" spans="1:3" x14ac:dyDescent="0.25">
      <c r="A1473" t="str">
        <f>"220015580"</f>
        <v>220015580</v>
      </c>
      <c r="B1473" t="str">
        <f>"EHPAD ROCH AR BUDO"</f>
        <v>EHPAD ROCH AR BUDO</v>
      </c>
      <c r="C1473" t="s">
        <v>65</v>
      </c>
    </row>
    <row r="1474" spans="1:3" x14ac:dyDescent="0.25">
      <c r="A1474" t="str">
        <f>"220015705"</f>
        <v>220015705</v>
      </c>
      <c r="B1474" t="str">
        <f>"EHPAD SAINT JOSEPH"</f>
        <v>EHPAD SAINT JOSEPH</v>
      </c>
      <c r="C1474" t="s">
        <v>65</v>
      </c>
    </row>
    <row r="1475" spans="1:3" x14ac:dyDescent="0.25">
      <c r="A1475" t="str">
        <f>"220016125"</f>
        <v>220016125</v>
      </c>
      <c r="B1475" t="str">
        <f>"MAISON DE RETRAITE CLAIR SOLEIL"</f>
        <v>MAISON DE RETRAITE CLAIR SOLEIL</v>
      </c>
      <c r="C1475" t="s">
        <v>65</v>
      </c>
    </row>
    <row r="1476" spans="1:3" x14ac:dyDescent="0.25">
      <c r="A1476" t="str">
        <f>"220016166"</f>
        <v>220016166</v>
      </c>
      <c r="B1476" t="str">
        <f>"EHPAD LE PARC"</f>
        <v>EHPAD LE PARC</v>
      </c>
      <c r="C1476" t="s">
        <v>65</v>
      </c>
    </row>
    <row r="1477" spans="1:3" x14ac:dyDescent="0.25">
      <c r="A1477" t="str">
        <f>"220016174"</f>
        <v>220016174</v>
      </c>
      <c r="B1477" t="str">
        <f>"EHPAD EUGENE GUENO"</f>
        <v>EHPAD EUGENE GUENO</v>
      </c>
      <c r="C1477" t="s">
        <v>65</v>
      </c>
    </row>
    <row r="1478" spans="1:3" x14ac:dyDescent="0.25">
      <c r="A1478" t="str">
        <f>"220016182"</f>
        <v>220016182</v>
      </c>
      <c r="B1478" t="str">
        <f>"EHPAD LE LAC"</f>
        <v>EHPAD LE LAC</v>
      </c>
      <c r="C1478" t="s">
        <v>65</v>
      </c>
    </row>
    <row r="1479" spans="1:3" x14ac:dyDescent="0.25">
      <c r="A1479" t="str">
        <f>"220016216"</f>
        <v>220016216</v>
      </c>
      <c r="B1479" t="str">
        <f>"MAPA RESIDENCE ST EMILION"</f>
        <v>MAPA RESIDENCE ST EMILION</v>
      </c>
      <c r="C1479" t="s">
        <v>65</v>
      </c>
    </row>
    <row r="1480" spans="1:3" x14ac:dyDescent="0.25">
      <c r="A1480" t="str">
        <f>"220016240"</f>
        <v>220016240</v>
      </c>
      <c r="B1480" t="str">
        <f>"EHPAD LA ROSERAIE"</f>
        <v>EHPAD LA ROSERAIE</v>
      </c>
      <c r="C1480" t="s">
        <v>65</v>
      </c>
    </row>
    <row r="1481" spans="1:3" x14ac:dyDescent="0.25">
      <c r="A1481" t="str">
        <f>"220017149"</f>
        <v>220017149</v>
      </c>
      <c r="B1481" t="str">
        <f>"EHPAD L'HORIZON BLEU"</f>
        <v>EHPAD L'HORIZON BLEU</v>
      </c>
      <c r="C1481" t="s">
        <v>65</v>
      </c>
    </row>
    <row r="1482" spans="1:3" x14ac:dyDescent="0.25">
      <c r="A1482" t="str">
        <f>"220019178"</f>
        <v>220019178</v>
      </c>
      <c r="B1482" t="str">
        <f>"MAISON DE RETRAITE ERMITAGE ST JOSEPH"</f>
        <v>MAISON DE RETRAITE ERMITAGE ST JOSEPH</v>
      </c>
      <c r="C1482" t="s">
        <v>65</v>
      </c>
    </row>
    <row r="1483" spans="1:3" x14ac:dyDescent="0.25">
      <c r="A1483" t="str">
        <f>"220019277"</f>
        <v>220019277</v>
      </c>
      <c r="B1483" t="str">
        <f>"RESIDENCE DU PARC SAINTE ANNE"</f>
        <v>RESIDENCE DU PARC SAINTE ANNE</v>
      </c>
      <c r="C1483" t="s">
        <v>65</v>
      </c>
    </row>
    <row r="1484" spans="1:3" x14ac:dyDescent="0.25">
      <c r="A1484" t="str">
        <f>"220019640"</f>
        <v>220019640</v>
      </c>
      <c r="B1484" t="str">
        <f>"RESIDENCE TY TUD COZ"</f>
        <v>RESIDENCE TY TUD COZ</v>
      </c>
      <c r="C1484" t="s">
        <v>65</v>
      </c>
    </row>
    <row r="1485" spans="1:3" x14ac:dyDescent="0.25">
      <c r="A1485" t="str">
        <f>"220020143"</f>
        <v>220020143</v>
      </c>
      <c r="B1485" t="str">
        <f>"EHPAD MAURICE PEIGNE CH DINAN"</f>
        <v>EHPAD MAURICE PEIGNE CH DINAN</v>
      </c>
      <c r="C1485" t="s">
        <v>65</v>
      </c>
    </row>
    <row r="1486" spans="1:3" x14ac:dyDescent="0.25">
      <c r="A1486" t="str">
        <f>"220020168"</f>
        <v>220020168</v>
      </c>
      <c r="B1486" t="str">
        <f>"EHPAD DU CRE"</f>
        <v>EHPAD DU CRE</v>
      </c>
      <c r="C1486" t="s">
        <v>65</v>
      </c>
    </row>
    <row r="1487" spans="1:3" x14ac:dyDescent="0.25">
      <c r="A1487" t="str">
        <f>"220020184"</f>
        <v>220020184</v>
      </c>
      <c r="B1487" t="str">
        <f>"RESIDENCE KERAMOUR"</f>
        <v>RESIDENCE KERAMOUR</v>
      </c>
      <c r="C1487" t="s">
        <v>65</v>
      </c>
    </row>
    <row r="1488" spans="1:3" x14ac:dyDescent="0.25">
      <c r="A1488" t="str">
        <f>"220020424"</f>
        <v>220020424</v>
      </c>
      <c r="B1488" t="str">
        <f>"EHPAD MUTUALISTE DES CHAMPS AU DUC"</f>
        <v>EHPAD MUTUALISTE DES CHAMPS AU DUC</v>
      </c>
      <c r="C1488" t="s">
        <v>65</v>
      </c>
    </row>
    <row r="1489" spans="1:3" x14ac:dyDescent="0.25">
      <c r="A1489" t="str">
        <f>"220020432"</f>
        <v>220020432</v>
      </c>
      <c r="B1489" t="str">
        <f>"RESIDENCE LES BLES D'OR"</f>
        <v>RESIDENCE LES BLES D'OR</v>
      </c>
      <c r="C1489" t="s">
        <v>65</v>
      </c>
    </row>
    <row r="1490" spans="1:3" x14ac:dyDescent="0.25">
      <c r="A1490" t="str">
        <f>"220021083"</f>
        <v>220021083</v>
      </c>
      <c r="B1490" t="str">
        <f>"EHPAD PIERRE YVON TREMEL"</f>
        <v>EHPAD PIERRE YVON TREMEL</v>
      </c>
      <c r="C1490" t="s">
        <v>65</v>
      </c>
    </row>
    <row r="1491" spans="1:3" x14ac:dyDescent="0.25">
      <c r="A1491" t="str">
        <f>"220021513"</f>
        <v>220021513</v>
      </c>
      <c r="B1491" t="str">
        <f>"RESIDENCE KERELYS"</f>
        <v>RESIDENCE KERELYS</v>
      </c>
      <c r="C1491" t="s">
        <v>65</v>
      </c>
    </row>
    <row r="1492" spans="1:3" x14ac:dyDescent="0.25">
      <c r="A1492" t="str">
        <f>"220022321"</f>
        <v>220022321</v>
      </c>
      <c r="B1492" t="str">
        <f>"ACCUEIL DE JOUR LE BOURGNEUF"</f>
        <v>ACCUEIL DE JOUR LE BOURGNEUF</v>
      </c>
      <c r="C1492" t="s">
        <v>65</v>
      </c>
    </row>
    <row r="1493" spans="1:3" x14ac:dyDescent="0.25">
      <c r="A1493" t="str">
        <f>"230000069"</f>
        <v>230000069</v>
      </c>
      <c r="B1493" t="str">
        <f>"EHPAD RESIDENCE LAS MELAIES"</f>
        <v>EHPAD RESIDENCE LAS MELAIES</v>
      </c>
      <c r="C1493" t="s">
        <v>70</v>
      </c>
    </row>
    <row r="1494" spans="1:3" x14ac:dyDescent="0.25">
      <c r="A1494" t="str">
        <f>"230000200"</f>
        <v>230000200</v>
      </c>
      <c r="B1494" t="str">
        <f>"EHPAD RESIDENCE LAULADE"</f>
        <v>EHPAD RESIDENCE LAULADE</v>
      </c>
      <c r="C1494" t="s">
        <v>70</v>
      </c>
    </row>
    <row r="1495" spans="1:3" x14ac:dyDescent="0.25">
      <c r="A1495" t="str">
        <f>"230000242"</f>
        <v>230000242</v>
      </c>
      <c r="B1495" t="str">
        <f>"EHPAD BELLEVUE CH DE BOURGANEUF"</f>
        <v>EHPAD BELLEVUE CH DE BOURGANEUF</v>
      </c>
      <c r="C1495" t="s">
        <v>70</v>
      </c>
    </row>
    <row r="1496" spans="1:3" x14ac:dyDescent="0.25">
      <c r="A1496" t="str">
        <f>"230000283"</f>
        <v>230000283</v>
      </c>
      <c r="B1496" t="str">
        <f>"EHPAD LES BOUQUETS"</f>
        <v>EHPAD LES BOUQUETS</v>
      </c>
      <c r="C1496" t="s">
        <v>70</v>
      </c>
    </row>
    <row r="1497" spans="1:3" x14ac:dyDescent="0.25">
      <c r="A1497" t="str">
        <f>"230000523"</f>
        <v>230000523</v>
      </c>
      <c r="B1497" t="str">
        <f>"EHPAD LA CHAPELAUDE"</f>
        <v>EHPAD LA CHAPELAUDE</v>
      </c>
      <c r="C1497" t="s">
        <v>70</v>
      </c>
    </row>
    <row r="1498" spans="1:3" x14ac:dyDescent="0.25">
      <c r="A1498" t="str">
        <f>"230000531"</f>
        <v>230000531</v>
      </c>
      <c r="B1498" t="str">
        <f>"EHPAD LES EAUX VIVES"</f>
        <v>EHPAD LES EAUX VIVES</v>
      </c>
      <c r="C1498" t="s">
        <v>70</v>
      </c>
    </row>
    <row r="1499" spans="1:3" x14ac:dyDescent="0.25">
      <c r="A1499" t="str">
        <f>"230001331"</f>
        <v>230001331</v>
      </c>
      <c r="B1499" t="str">
        <f>"EHPAD RESIDENCE CLAIREFONTAINE"</f>
        <v>EHPAD RESIDENCE CLAIREFONTAINE</v>
      </c>
      <c r="C1499" t="s">
        <v>70</v>
      </c>
    </row>
    <row r="1500" spans="1:3" x14ac:dyDescent="0.25">
      <c r="A1500" t="str">
        <f>"230003568"</f>
        <v>230003568</v>
      </c>
      <c r="B1500" t="str">
        <f>"EHPAD LE MAS FAURE"</f>
        <v>EHPAD LE MAS FAURE</v>
      </c>
      <c r="C1500" t="s">
        <v>70</v>
      </c>
    </row>
    <row r="1501" spans="1:3" x14ac:dyDescent="0.25">
      <c r="A1501" t="str">
        <f>"230003618"</f>
        <v>230003618</v>
      </c>
      <c r="B1501" t="str">
        <f>"EHPAD LES 4 CADRANS"</f>
        <v>EHPAD LES 4 CADRANS</v>
      </c>
      <c r="C1501" t="s">
        <v>70</v>
      </c>
    </row>
    <row r="1502" spans="1:3" x14ac:dyDescent="0.25">
      <c r="A1502" t="str">
        <f>"230003659"</f>
        <v>230003659</v>
      </c>
      <c r="B1502" t="str">
        <f>"EHPAD DE LA COURTINE"</f>
        <v>EHPAD DE LA COURTINE</v>
      </c>
      <c r="C1502" t="s">
        <v>70</v>
      </c>
    </row>
    <row r="1503" spans="1:3" x14ac:dyDescent="0.25">
      <c r="A1503" t="str">
        <f>"230004129"</f>
        <v>230004129</v>
      </c>
      <c r="B1503" t="str">
        <f>"EHPAD LE MONT"</f>
        <v>EHPAD LE MONT</v>
      </c>
      <c r="C1503" t="s">
        <v>70</v>
      </c>
    </row>
    <row r="1504" spans="1:3" x14ac:dyDescent="0.25">
      <c r="A1504" t="str">
        <f>"230004178"</f>
        <v>230004178</v>
      </c>
      <c r="B1504" t="str">
        <f>"EHPAD LES GENETS D'OR"</f>
        <v>EHPAD LES GENETS D'OR</v>
      </c>
      <c r="C1504" t="s">
        <v>70</v>
      </c>
    </row>
    <row r="1505" spans="1:3" x14ac:dyDescent="0.25">
      <c r="A1505" t="str">
        <f>"230780256"</f>
        <v>230780256</v>
      </c>
      <c r="B1505" t="str">
        <f>"EHPAD LE BOIS JOLI"</f>
        <v>EHPAD LE BOIS JOLI</v>
      </c>
      <c r="C1505" t="s">
        <v>70</v>
      </c>
    </row>
    <row r="1506" spans="1:3" x14ac:dyDescent="0.25">
      <c r="A1506" t="str">
        <f>"230780264"</f>
        <v>230780264</v>
      </c>
      <c r="B1506" t="str">
        <f>"EHPAD PELISSON FONTANIER"</f>
        <v>EHPAD PELISSON FONTANIER</v>
      </c>
      <c r="C1506" t="s">
        <v>70</v>
      </c>
    </row>
    <row r="1507" spans="1:3" x14ac:dyDescent="0.25">
      <c r="A1507" t="str">
        <f>"230780272"</f>
        <v>230780272</v>
      </c>
      <c r="B1507" t="str">
        <f>"EHPAD LE CHANT DES RIVIERES"</f>
        <v>EHPAD LE CHANT DES RIVIERES</v>
      </c>
      <c r="C1507" t="s">
        <v>70</v>
      </c>
    </row>
    <row r="1508" spans="1:3" x14ac:dyDescent="0.25">
      <c r="A1508" t="str">
        <f>"230780280"</f>
        <v>230780280</v>
      </c>
      <c r="B1508" t="str">
        <f>"RESIDENCE PIERRE BAZENERYE"</f>
        <v>RESIDENCE PIERRE BAZENERYE</v>
      </c>
      <c r="C1508" t="s">
        <v>70</v>
      </c>
    </row>
    <row r="1509" spans="1:3" x14ac:dyDescent="0.25">
      <c r="A1509" t="str">
        <f>"230780306"</f>
        <v>230780306</v>
      </c>
      <c r="B1509" t="str">
        <f>"EHPAD GASTON RIMAREIX"</f>
        <v>EHPAD GASTON RIMAREIX</v>
      </c>
      <c r="C1509" t="s">
        <v>70</v>
      </c>
    </row>
    <row r="1510" spans="1:3" x14ac:dyDescent="0.25">
      <c r="A1510" t="str">
        <f>"230780314"</f>
        <v>230780314</v>
      </c>
      <c r="B1510" t="str">
        <f>"EHPAD RES PORTE DE PUYCHARRAUD"</f>
        <v>EHPAD RES PORTE DE PUYCHARRAUD</v>
      </c>
      <c r="C1510" t="s">
        <v>70</v>
      </c>
    </row>
    <row r="1511" spans="1:3" x14ac:dyDescent="0.25">
      <c r="A1511" t="str">
        <f>"230780322"</f>
        <v>230780322</v>
      </c>
      <c r="B1511" t="str">
        <f>"EHPAD ROYERE DE VASSIVIERE"</f>
        <v>EHPAD ROYERE DE VASSIVIERE</v>
      </c>
      <c r="C1511" t="s">
        <v>70</v>
      </c>
    </row>
    <row r="1512" spans="1:3" x14ac:dyDescent="0.25">
      <c r="A1512" t="str">
        <f>"230781585"</f>
        <v>230781585</v>
      </c>
      <c r="B1512" t="str">
        <f>"EHPAD SAINT-JEAN"</f>
        <v>EHPAD SAINT-JEAN</v>
      </c>
      <c r="C1512" t="s">
        <v>70</v>
      </c>
    </row>
    <row r="1513" spans="1:3" x14ac:dyDescent="0.25">
      <c r="A1513" t="str">
        <f>"230781627"</f>
        <v>230781627</v>
      </c>
      <c r="B1513" t="str">
        <f>"EHPAD EUGENE ROMAINE"</f>
        <v>EHPAD EUGENE ROMAINE</v>
      </c>
      <c r="C1513" t="s">
        <v>70</v>
      </c>
    </row>
    <row r="1514" spans="1:3" x14ac:dyDescent="0.25">
      <c r="A1514" t="str">
        <f>"230781635"</f>
        <v>230781635</v>
      </c>
      <c r="B1514" t="str">
        <f>"EHPAD RESIDENCE JEAN MAZET"</f>
        <v>EHPAD RESIDENCE JEAN MAZET</v>
      </c>
      <c r="C1514" t="s">
        <v>70</v>
      </c>
    </row>
    <row r="1515" spans="1:3" x14ac:dyDescent="0.25">
      <c r="A1515" t="str">
        <f>"230781650"</f>
        <v>230781650</v>
      </c>
      <c r="B1515" t="str">
        <f>"EHPAD LE MONASTERE"</f>
        <v>EHPAD LE MONASTERE</v>
      </c>
      <c r="C1515" t="s">
        <v>70</v>
      </c>
    </row>
    <row r="1516" spans="1:3" x14ac:dyDescent="0.25">
      <c r="A1516" t="str">
        <f>"230781668"</f>
        <v>230781668</v>
      </c>
      <c r="B1516" t="str">
        <f>"EHPAD ANNA QUINQUAUD"</f>
        <v>EHPAD ANNA QUINQUAUD</v>
      </c>
      <c r="C1516" t="s">
        <v>70</v>
      </c>
    </row>
    <row r="1517" spans="1:3" x14ac:dyDescent="0.25">
      <c r="A1517" t="str">
        <f>"230781676"</f>
        <v>230781676</v>
      </c>
      <c r="B1517" t="str">
        <f>"EHPAD RESIDENCE PIERRE GUILBAUD"</f>
        <v>EHPAD RESIDENCE PIERRE GUILBAUD</v>
      </c>
      <c r="C1517" t="s">
        <v>70</v>
      </c>
    </row>
    <row r="1518" spans="1:3" x14ac:dyDescent="0.25">
      <c r="A1518" t="str">
        <f>"230781684"</f>
        <v>230781684</v>
      </c>
      <c r="B1518" t="str">
        <f>"EHPAD LES MYOSOTIS"</f>
        <v>EHPAD LES MYOSOTIS</v>
      </c>
      <c r="C1518" t="s">
        <v>70</v>
      </c>
    </row>
    <row r="1519" spans="1:3" x14ac:dyDescent="0.25">
      <c r="A1519" t="str">
        <f>"230781692"</f>
        <v>230781692</v>
      </c>
      <c r="B1519" t="str">
        <f>"EHPAD LES NADAUDS"</f>
        <v>EHPAD LES NADAUDS</v>
      </c>
      <c r="C1519" t="s">
        <v>70</v>
      </c>
    </row>
    <row r="1520" spans="1:3" x14ac:dyDescent="0.25">
      <c r="A1520" t="str">
        <f>"230781767"</f>
        <v>230781767</v>
      </c>
      <c r="B1520" t="str">
        <f>"EHPAD DU THAURION"</f>
        <v>EHPAD DU THAURION</v>
      </c>
      <c r="C1520" t="s">
        <v>70</v>
      </c>
    </row>
    <row r="1521" spans="1:3" x14ac:dyDescent="0.25">
      <c r="A1521" t="str">
        <f>"230781916"</f>
        <v>230781916</v>
      </c>
      <c r="B1521" t="str">
        <f>"EHPAD LES SIGNOLLES"</f>
        <v>EHPAD LES SIGNOLLES</v>
      </c>
      <c r="C1521" t="s">
        <v>70</v>
      </c>
    </row>
    <row r="1522" spans="1:3" x14ac:dyDescent="0.25">
      <c r="A1522" t="str">
        <f>"230782674"</f>
        <v>230782674</v>
      </c>
      <c r="B1522" t="str">
        <f>"EHPAD DE SAINTE-FEYRE"</f>
        <v>EHPAD DE SAINTE-FEYRE</v>
      </c>
      <c r="C1522" t="s">
        <v>70</v>
      </c>
    </row>
    <row r="1523" spans="1:3" x14ac:dyDescent="0.25">
      <c r="A1523" t="str">
        <f>"230782898"</f>
        <v>230782898</v>
      </c>
      <c r="B1523" t="str">
        <f>"EHPAD LE LOGIS DE VALRIC"</f>
        <v>EHPAD LE LOGIS DE VALRIC</v>
      </c>
      <c r="C1523" t="s">
        <v>70</v>
      </c>
    </row>
    <row r="1524" spans="1:3" x14ac:dyDescent="0.25">
      <c r="A1524" t="str">
        <f>"240000224"</f>
        <v>240000224</v>
      </c>
      <c r="B1524" t="str">
        <f>"EHPAD KORIAN VILLA DES CEBRADES"</f>
        <v>EHPAD KORIAN VILLA DES CEBRADES</v>
      </c>
      <c r="C1524" t="s">
        <v>70</v>
      </c>
    </row>
    <row r="1525" spans="1:3" x14ac:dyDescent="0.25">
      <c r="A1525" t="str">
        <f>"240000570"</f>
        <v>240000570</v>
      </c>
      <c r="B1525" t="str">
        <f>"EHPAD FONFREDE"</f>
        <v>EHPAD FONFREDE</v>
      </c>
      <c r="C1525" t="s">
        <v>70</v>
      </c>
    </row>
    <row r="1526" spans="1:3" x14ac:dyDescent="0.25">
      <c r="A1526" t="str">
        <f>"240000588"</f>
        <v>240000588</v>
      </c>
      <c r="B1526" t="str">
        <f>"EHPAD FELIX LOBLIGEOIS"</f>
        <v>EHPAD FELIX LOBLIGEOIS</v>
      </c>
      <c r="C1526" t="s">
        <v>70</v>
      </c>
    </row>
    <row r="1527" spans="1:3" x14ac:dyDescent="0.25">
      <c r="A1527" t="str">
        <f>"240002071"</f>
        <v>240002071</v>
      </c>
      <c r="B1527" t="str">
        <f>"EHPAD HENRI FRUGIER"</f>
        <v>EHPAD HENRI FRUGIER</v>
      </c>
      <c r="C1527" t="s">
        <v>70</v>
      </c>
    </row>
    <row r="1528" spans="1:3" x14ac:dyDescent="0.25">
      <c r="A1528" t="str">
        <f>"240002121"</f>
        <v>240002121</v>
      </c>
      <c r="B1528" t="str">
        <f>"EHPAD LA BASTIDE"</f>
        <v>EHPAD LA BASTIDE</v>
      </c>
      <c r="C1528" t="s">
        <v>70</v>
      </c>
    </row>
    <row r="1529" spans="1:3" x14ac:dyDescent="0.25">
      <c r="A1529" t="str">
        <f>"240002139"</f>
        <v>240002139</v>
      </c>
      <c r="B1529" t="str">
        <f>"EHPAD FAUBOURG NOTRE DAME"</f>
        <v>EHPAD FAUBOURG NOTRE DAME</v>
      </c>
      <c r="C1529" t="s">
        <v>70</v>
      </c>
    </row>
    <row r="1530" spans="1:3" x14ac:dyDescent="0.25">
      <c r="A1530" t="str">
        <f>"240002147"</f>
        <v>240002147</v>
      </c>
      <c r="B1530" t="str">
        <f>"EHPAD RESIDENCE DE LA DRONNE"</f>
        <v>EHPAD RESIDENCE DE LA DRONNE</v>
      </c>
      <c r="C1530" t="s">
        <v>70</v>
      </c>
    </row>
    <row r="1531" spans="1:3" x14ac:dyDescent="0.25">
      <c r="A1531" t="str">
        <f>"240002154"</f>
        <v>240002154</v>
      </c>
      <c r="B1531" t="str">
        <f>"EHPAD DE CADOUIN"</f>
        <v>EHPAD DE CADOUIN</v>
      </c>
      <c r="C1531" t="s">
        <v>70</v>
      </c>
    </row>
    <row r="1532" spans="1:3" x14ac:dyDescent="0.25">
      <c r="A1532" t="str">
        <f>"240002162"</f>
        <v>240002162</v>
      </c>
      <c r="B1532" t="str">
        <f>"EHPAD SAINT- ROME"</f>
        <v>EHPAD SAINT- ROME</v>
      </c>
      <c r="C1532" t="s">
        <v>70</v>
      </c>
    </row>
    <row r="1533" spans="1:3" x14ac:dyDescent="0.25">
      <c r="A1533" t="str">
        <f>"240002170"</f>
        <v>240002170</v>
      </c>
      <c r="B1533" t="str">
        <f>"EHPAD RESIDENCE DE LA BELLE"</f>
        <v>EHPAD RESIDENCE DE LA BELLE</v>
      </c>
      <c r="C1533" t="s">
        <v>70</v>
      </c>
    </row>
    <row r="1534" spans="1:3" x14ac:dyDescent="0.25">
      <c r="A1534" t="str">
        <f>"240002188"</f>
        <v>240002188</v>
      </c>
      <c r="B1534" t="str">
        <f>"EHPAD EUGENE LE ROY"</f>
        <v>EHPAD EUGENE LE ROY</v>
      </c>
      <c r="C1534" t="s">
        <v>70</v>
      </c>
    </row>
    <row r="1535" spans="1:3" x14ac:dyDescent="0.25">
      <c r="A1535" t="str">
        <f>"240002196"</f>
        <v>240002196</v>
      </c>
      <c r="B1535" t="str">
        <f>"EHPAD FOIX DE CANDALLE"</f>
        <v>EHPAD FOIX DE CANDALLE</v>
      </c>
      <c r="C1535" t="s">
        <v>70</v>
      </c>
    </row>
    <row r="1536" spans="1:3" x14ac:dyDescent="0.25">
      <c r="A1536" t="str">
        <f>"240002204"</f>
        <v>240002204</v>
      </c>
      <c r="B1536" t="str">
        <f>"EHPAD DE MUSSIDAN"</f>
        <v>EHPAD DE MUSSIDAN</v>
      </c>
      <c r="C1536" t="s">
        <v>70</v>
      </c>
    </row>
    <row r="1537" spans="1:3" x14ac:dyDescent="0.25">
      <c r="A1537" t="str">
        <f>"240002212"</f>
        <v>240002212</v>
      </c>
      <c r="B1537" t="str">
        <f>"EHPAD LA PORTE D'AQUITAINE"</f>
        <v>EHPAD LA PORTE D'AQUITAINE</v>
      </c>
      <c r="C1537" t="s">
        <v>70</v>
      </c>
    </row>
    <row r="1538" spans="1:3" x14ac:dyDescent="0.25">
      <c r="A1538" t="str">
        <f>"240002220"</f>
        <v>240002220</v>
      </c>
      <c r="B1538" t="str">
        <f>"EHPAD LA ROCHE LIBERE"</f>
        <v>EHPAD LA ROCHE LIBERE</v>
      </c>
      <c r="C1538" t="s">
        <v>70</v>
      </c>
    </row>
    <row r="1539" spans="1:3" x14ac:dyDescent="0.25">
      <c r="A1539" t="str">
        <f>"240002238"</f>
        <v>240002238</v>
      </c>
      <c r="B1539" t="str">
        <f>"EHPAD LE COLOMBIER"</f>
        <v>EHPAD LE COLOMBIER</v>
      </c>
      <c r="C1539" t="s">
        <v>70</v>
      </c>
    </row>
    <row r="1540" spans="1:3" x14ac:dyDescent="0.25">
      <c r="A1540" t="str">
        <f>"240002246"</f>
        <v>240002246</v>
      </c>
      <c r="B1540" t="str">
        <f>"EHPAD JEAN DE HAUTEFORT"</f>
        <v>EHPAD JEAN DE HAUTEFORT</v>
      </c>
      <c r="C1540" t="s">
        <v>70</v>
      </c>
    </row>
    <row r="1541" spans="1:3" x14ac:dyDescent="0.25">
      <c r="A1541" t="str">
        <f>"240002253"</f>
        <v>240002253</v>
      </c>
      <c r="B1541" t="str">
        <f>"EHPAD RESIDENCE RIVIERE ESPERANCE"</f>
        <v>EHPAD RESIDENCE RIVIERE ESPERANCE</v>
      </c>
      <c r="C1541" t="s">
        <v>70</v>
      </c>
    </row>
    <row r="1542" spans="1:3" x14ac:dyDescent="0.25">
      <c r="A1542" t="str">
        <f>"240002261"</f>
        <v>240002261</v>
      </c>
      <c r="B1542" t="str">
        <f>"RES LE PERIGORD - EHPAD MONPAZIER"</f>
        <v>RES LE PERIGORD - EHPAD MONPAZIER</v>
      </c>
      <c r="C1542" t="s">
        <v>70</v>
      </c>
    </row>
    <row r="1543" spans="1:3" x14ac:dyDescent="0.25">
      <c r="A1543" t="str">
        <f>"240002279"</f>
        <v>240002279</v>
      </c>
      <c r="B1543" t="str">
        <f>"EHPAD MARCEL CANTELAUBE"</f>
        <v>EHPAD MARCEL CANTELAUBE</v>
      </c>
      <c r="C1543" t="s">
        <v>70</v>
      </c>
    </row>
    <row r="1544" spans="1:3" x14ac:dyDescent="0.25">
      <c r="A1544" t="str">
        <f>"240002337"</f>
        <v>240002337</v>
      </c>
      <c r="B1544" t="str">
        <f>"EHPAD LA MADELEINE"</f>
        <v>EHPAD LA MADELEINE</v>
      </c>
      <c r="C1544" t="s">
        <v>70</v>
      </c>
    </row>
    <row r="1545" spans="1:3" x14ac:dyDescent="0.25">
      <c r="A1545" t="str">
        <f>"240002741"</f>
        <v>240002741</v>
      </c>
      <c r="B1545" t="str">
        <f>"EHPAD LA JUVENIE"</f>
        <v>EHPAD LA JUVENIE</v>
      </c>
      <c r="C1545" t="s">
        <v>70</v>
      </c>
    </row>
    <row r="1546" spans="1:3" x14ac:dyDescent="0.25">
      <c r="A1546" t="str">
        <f>"240003384"</f>
        <v>240003384</v>
      </c>
      <c r="B1546" t="str">
        <f>"EHPAD KORIAN LES BORDS DE L'ISLE"</f>
        <v>EHPAD KORIAN LES BORDS DE L'ISLE</v>
      </c>
      <c r="C1546" t="s">
        <v>70</v>
      </c>
    </row>
    <row r="1547" spans="1:3" x14ac:dyDescent="0.25">
      <c r="A1547" t="str">
        <f>"240004184"</f>
        <v>240004184</v>
      </c>
      <c r="B1547" t="str">
        <f>"EHPAD LA MAISON DE GOUT"</f>
        <v>EHPAD LA MAISON DE GOUT</v>
      </c>
      <c r="C1547" t="s">
        <v>70</v>
      </c>
    </row>
    <row r="1548" spans="1:3" x14ac:dyDescent="0.25">
      <c r="A1548" t="str">
        <f>"240004390"</f>
        <v>240004390</v>
      </c>
      <c r="B1548" t="str">
        <f>"EHPAD BEAUFORT MAGNE"</f>
        <v>EHPAD BEAUFORT MAGNE</v>
      </c>
      <c r="C1548" t="s">
        <v>70</v>
      </c>
    </row>
    <row r="1549" spans="1:3" x14ac:dyDescent="0.25">
      <c r="A1549" t="str">
        <f>"240005124"</f>
        <v>240005124</v>
      </c>
      <c r="B1549" t="str">
        <f>"EHPAD LA RETRAITE DU MANOIRE"</f>
        <v>EHPAD LA RETRAITE DU MANOIRE</v>
      </c>
      <c r="C1549" t="s">
        <v>70</v>
      </c>
    </row>
    <row r="1550" spans="1:3" x14ac:dyDescent="0.25">
      <c r="A1550" t="str">
        <f>"240005132"</f>
        <v>240005132</v>
      </c>
      <c r="B1550" t="str">
        <f>"EHPAD RESIDENCE SAINTE-MARTHE"</f>
        <v>EHPAD RESIDENCE SAINTE-MARTHE</v>
      </c>
      <c r="C1550" t="s">
        <v>70</v>
      </c>
    </row>
    <row r="1551" spans="1:3" x14ac:dyDescent="0.25">
      <c r="A1551" t="str">
        <f>"240005280"</f>
        <v>240005280</v>
      </c>
      <c r="B1551" t="str">
        <f>"EHPAD DE NEUVIC"</f>
        <v>EHPAD DE NEUVIC</v>
      </c>
      <c r="C1551" t="s">
        <v>70</v>
      </c>
    </row>
    <row r="1552" spans="1:3" x14ac:dyDescent="0.25">
      <c r="A1552" t="str">
        <f>"240006379"</f>
        <v>240006379</v>
      </c>
      <c r="B1552" t="str">
        <f>"EHPAD RESIDENCE DE CAVALERIE"</f>
        <v>EHPAD RESIDENCE DE CAVALERIE</v>
      </c>
      <c r="C1552" t="s">
        <v>70</v>
      </c>
    </row>
    <row r="1553" spans="1:3" x14ac:dyDescent="0.25">
      <c r="A1553" t="str">
        <f>"240006973"</f>
        <v>240006973</v>
      </c>
      <c r="B1553" t="str">
        <f>"EHPAD LES JARDINS DE STE-ALVERE"</f>
        <v>EHPAD LES JARDINS DE STE-ALVERE</v>
      </c>
      <c r="C1553" t="s">
        <v>70</v>
      </c>
    </row>
    <row r="1554" spans="1:3" x14ac:dyDescent="0.25">
      <c r="A1554" t="str">
        <f>"240007450"</f>
        <v>240007450</v>
      </c>
      <c r="B1554" t="str">
        <f>"EHPAD  TIBERIADE"</f>
        <v>EHPAD  TIBERIADE</v>
      </c>
      <c r="C1554" t="s">
        <v>70</v>
      </c>
    </row>
    <row r="1555" spans="1:3" x14ac:dyDescent="0.25">
      <c r="A1555" t="str">
        <f>"240007609"</f>
        <v>240007609</v>
      </c>
      <c r="B1555" t="str">
        <f>"EHPAD DU CH DE BELVES"</f>
        <v>EHPAD DU CH DE BELVES</v>
      </c>
      <c r="C1555" t="s">
        <v>70</v>
      </c>
    </row>
    <row r="1556" spans="1:3" x14ac:dyDescent="0.25">
      <c r="A1556" t="str">
        <f>"240007617"</f>
        <v>240007617</v>
      </c>
      <c r="B1556" t="str">
        <f>"EHPAD AU JARDIN D'ANTAN"</f>
        <v>EHPAD AU JARDIN D'ANTAN</v>
      </c>
      <c r="C1556" t="s">
        <v>70</v>
      </c>
    </row>
    <row r="1557" spans="1:3" x14ac:dyDescent="0.25">
      <c r="A1557" t="str">
        <f>"240007658"</f>
        <v>240007658</v>
      </c>
      <c r="B1557" t="str">
        <f>"EHPAD DU CH DE DOMME"</f>
        <v>EHPAD DU CH DE DOMME</v>
      </c>
      <c r="C1557" t="s">
        <v>70</v>
      </c>
    </row>
    <row r="1558" spans="1:3" x14ac:dyDescent="0.25">
      <c r="A1558" t="str">
        <f>"240007666"</f>
        <v>240007666</v>
      </c>
      <c r="B1558" t="str">
        <f>"EHPAD DU CH D'EXCIDEUIL"</f>
        <v>EHPAD DU CH D'EXCIDEUIL</v>
      </c>
      <c r="C1558" t="s">
        <v>70</v>
      </c>
    </row>
    <row r="1559" spans="1:3" x14ac:dyDescent="0.25">
      <c r="A1559" t="str">
        <f>"240007674"</f>
        <v>240007674</v>
      </c>
      <c r="B1559" t="str">
        <f>"EHPAD DU CH DE NONTRON"</f>
        <v>EHPAD DU CH DE NONTRON</v>
      </c>
      <c r="C1559" t="s">
        <v>70</v>
      </c>
    </row>
    <row r="1560" spans="1:3" x14ac:dyDescent="0.25">
      <c r="A1560" t="str">
        <f>"240007682"</f>
        <v>240007682</v>
      </c>
      <c r="B1560" t="str">
        <f>"EHPAD DE RIBERAC"</f>
        <v>EHPAD DE RIBERAC</v>
      </c>
      <c r="C1560" t="s">
        <v>70</v>
      </c>
    </row>
    <row r="1561" spans="1:3" x14ac:dyDescent="0.25">
      <c r="A1561" t="str">
        <f>"240007690"</f>
        <v>240007690</v>
      </c>
      <c r="B1561" t="str">
        <f>"EHPAD DU CH DE SAINT-ASTIER"</f>
        <v>EHPAD DU CH DE SAINT-ASTIER</v>
      </c>
      <c r="C1561" t="s">
        <v>70</v>
      </c>
    </row>
    <row r="1562" spans="1:3" x14ac:dyDescent="0.25">
      <c r="A1562" t="str">
        <f>"240007708"</f>
        <v>240007708</v>
      </c>
      <c r="B1562" t="str">
        <f>"EHPAD CHENARD"</f>
        <v>EHPAD CHENARD</v>
      </c>
      <c r="C1562" t="s">
        <v>70</v>
      </c>
    </row>
    <row r="1563" spans="1:3" x14ac:dyDescent="0.25">
      <c r="A1563" t="str">
        <f>"240007716"</f>
        <v>240007716</v>
      </c>
      <c r="B1563" t="str">
        <f>"EHPAD DU CH J LECLAIRE"</f>
        <v>EHPAD DU CH J LECLAIRE</v>
      </c>
      <c r="C1563" t="s">
        <v>70</v>
      </c>
    </row>
    <row r="1564" spans="1:3" x14ac:dyDescent="0.25">
      <c r="A1564" t="str">
        <f>"240007823"</f>
        <v>240007823</v>
      </c>
      <c r="B1564" t="str">
        <f>"EHPAD DU CH LANMARY"</f>
        <v>EHPAD DU CH LANMARY</v>
      </c>
      <c r="C1564" t="s">
        <v>70</v>
      </c>
    </row>
    <row r="1565" spans="1:3" x14ac:dyDescent="0.25">
      <c r="A1565" t="str">
        <f>"240008136"</f>
        <v>240008136</v>
      </c>
      <c r="B1565" t="str">
        <f>"EHPAD DE SAINT LEON SUR L'ISLE"</f>
        <v>EHPAD DE SAINT LEON SUR L'ISLE</v>
      </c>
      <c r="C1565" t="s">
        <v>70</v>
      </c>
    </row>
    <row r="1566" spans="1:3" x14ac:dyDescent="0.25">
      <c r="A1566" t="str">
        <f>"240008391"</f>
        <v>240008391</v>
      </c>
      <c r="B1566" t="str">
        <f>"EHPAD LA DRYADE"</f>
        <v>EHPAD LA DRYADE</v>
      </c>
      <c r="C1566" t="s">
        <v>70</v>
      </c>
    </row>
    <row r="1567" spans="1:3" x14ac:dyDescent="0.25">
      <c r="A1567" t="str">
        <f>"240008565"</f>
        <v>240008565</v>
      </c>
      <c r="B1567" t="str">
        <f>"EHPAD LES CHENES VERTS"</f>
        <v>EHPAD LES CHENES VERTS</v>
      </c>
      <c r="C1567" t="s">
        <v>70</v>
      </c>
    </row>
    <row r="1568" spans="1:3" x14ac:dyDescent="0.25">
      <c r="A1568" t="str">
        <f>"240008631"</f>
        <v>240008631</v>
      </c>
      <c r="B1568" t="str">
        <f>"EHPAD LE PETIT GARDONNE"</f>
        <v>EHPAD LE PETIT GARDONNE</v>
      </c>
      <c r="C1568" t="s">
        <v>70</v>
      </c>
    </row>
    <row r="1569" spans="1:3" x14ac:dyDescent="0.25">
      <c r="A1569" t="str">
        <f>"240008706"</f>
        <v>240008706</v>
      </c>
      <c r="B1569" t="str">
        <f>"EHPAD LE CLOS SAINT-ROCH"</f>
        <v>EHPAD LE CLOS SAINT-ROCH</v>
      </c>
      <c r="C1569" t="s">
        <v>70</v>
      </c>
    </row>
    <row r="1570" spans="1:3" x14ac:dyDescent="0.25">
      <c r="A1570" t="str">
        <f>"240008714"</f>
        <v>240008714</v>
      </c>
      <c r="B1570" t="str">
        <f>"EHPAD RESIDENCE DES QUATRE SAISONS"</f>
        <v>EHPAD RESIDENCE DES QUATRE SAISONS</v>
      </c>
      <c r="C1570" t="s">
        <v>70</v>
      </c>
    </row>
    <row r="1571" spans="1:3" x14ac:dyDescent="0.25">
      <c r="A1571" t="str">
        <f>"240008730"</f>
        <v>240008730</v>
      </c>
      <c r="B1571" t="str">
        <f>"EHPAD LA MADELEINE"</f>
        <v>EHPAD LA MADELEINE</v>
      </c>
      <c r="C1571" t="s">
        <v>70</v>
      </c>
    </row>
    <row r="1572" spans="1:3" x14ac:dyDescent="0.25">
      <c r="A1572" t="str">
        <f>"240008755"</f>
        <v>240008755</v>
      </c>
      <c r="B1572" t="str">
        <f>"EHPAD LE VERGER DES BALANS"</f>
        <v>EHPAD LE VERGER DES BALANS</v>
      </c>
      <c r="C1572" t="s">
        <v>70</v>
      </c>
    </row>
    <row r="1573" spans="1:3" x14ac:dyDescent="0.25">
      <c r="A1573" t="str">
        <f>"240008763"</f>
        <v>240008763</v>
      </c>
      <c r="B1573" t="str">
        <f>"EHPAD LES TREMOLADES"</f>
        <v>EHPAD LES TREMOLADES</v>
      </c>
      <c r="C1573" t="s">
        <v>70</v>
      </c>
    </row>
    <row r="1574" spans="1:3" x14ac:dyDescent="0.25">
      <c r="A1574" t="str">
        <f>"240008789"</f>
        <v>240008789</v>
      </c>
      <c r="B1574" t="str">
        <f>"EHPAD LA CHENERAIE"</f>
        <v>EHPAD LA CHENERAIE</v>
      </c>
      <c r="C1574" t="s">
        <v>70</v>
      </c>
    </row>
    <row r="1575" spans="1:3" x14ac:dyDescent="0.25">
      <c r="A1575" t="str">
        <f>"240009407"</f>
        <v>240009407</v>
      </c>
      <c r="B1575" t="str">
        <f>"EHPAD LA FEUILLERAIE"</f>
        <v>EHPAD LA FEUILLERAIE</v>
      </c>
      <c r="C1575" t="s">
        <v>70</v>
      </c>
    </row>
    <row r="1576" spans="1:3" x14ac:dyDescent="0.25">
      <c r="A1576" t="str">
        <f>"240009449"</f>
        <v>240009449</v>
      </c>
      <c r="B1576" t="str">
        <f>"EHPAD SAINT JOSEPH"</f>
        <v>EHPAD SAINT JOSEPH</v>
      </c>
      <c r="C1576" t="s">
        <v>70</v>
      </c>
    </row>
    <row r="1577" spans="1:3" x14ac:dyDescent="0.25">
      <c r="A1577" t="str">
        <f>"240009761"</f>
        <v>240009761</v>
      </c>
      <c r="B1577" t="str">
        <f>"EHPAD DOCTEUR JEAN GALLET"</f>
        <v>EHPAD DOCTEUR JEAN GALLET</v>
      </c>
      <c r="C1577" t="s">
        <v>70</v>
      </c>
    </row>
    <row r="1578" spans="1:3" x14ac:dyDescent="0.25">
      <c r="A1578" t="str">
        <f>"240009779"</f>
        <v>240009779</v>
      </c>
      <c r="B1578" t="str">
        <f>"EHPAD LES JARDINS D'IROISE"</f>
        <v>EHPAD LES JARDINS D'IROISE</v>
      </c>
      <c r="C1578" t="s">
        <v>70</v>
      </c>
    </row>
    <row r="1579" spans="1:3" x14ac:dyDescent="0.25">
      <c r="A1579" t="str">
        <f>"240009894"</f>
        <v>240009894</v>
      </c>
      <c r="B1579" t="str">
        <f>"EHPAD RESIDENCE DU PLANTIER"</f>
        <v>EHPAD RESIDENCE DU PLANTIER</v>
      </c>
      <c r="C1579" t="s">
        <v>70</v>
      </c>
    </row>
    <row r="1580" spans="1:3" x14ac:dyDescent="0.25">
      <c r="A1580" t="str">
        <f>"240013029"</f>
        <v>240013029</v>
      </c>
      <c r="B1580" t="str">
        <f>"EHPAD DU CANTON DE SAINT-CYPRIEN"</f>
        <v>EHPAD DU CANTON DE SAINT-CYPRIEN</v>
      </c>
      <c r="C1580" t="s">
        <v>70</v>
      </c>
    </row>
    <row r="1581" spans="1:3" x14ac:dyDescent="0.25">
      <c r="A1581" t="str">
        <f>"240013276"</f>
        <v>240013276</v>
      </c>
      <c r="B1581" t="str">
        <f>"EHPAD LES CLAUDS DE LALY"</f>
        <v>EHPAD LES CLAUDS DE LALY</v>
      </c>
      <c r="C1581" t="s">
        <v>70</v>
      </c>
    </row>
    <row r="1582" spans="1:3" x14ac:dyDescent="0.25">
      <c r="A1582" t="str">
        <f>"240013300"</f>
        <v>240013300</v>
      </c>
      <c r="B1582" t="str">
        <f>"EHPAD LA VALLEE DU ROY"</f>
        <v>EHPAD LA VALLEE DU ROY</v>
      </c>
      <c r="C1582" t="s">
        <v>70</v>
      </c>
    </row>
    <row r="1583" spans="1:3" x14ac:dyDescent="0.25">
      <c r="A1583" t="str">
        <f>"240013318"</f>
        <v>240013318</v>
      </c>
      <c r="B1583" t="str">
        <f>"EHPAD CH NONTRON - SITE ST PARDOUX"</f>
        <v>EHPAD CH NONTRON - SITE ST PARDOUX</v>
      </c>
      <c r="C1583" t="s">
        <v>70</v>
      </c>
    </row>
    <row r="1584" spans="1:3" x14ac:dyDescent="0.25">
      <c r="A1584" t="str">
        <f>"240013888"</f>
        <v>240013888</v>
      </c>
      <c r="B1584" t="str">
        <f>"EHPAD LES PERGOLAS DE SIGOULES"</f>
        <v>EHPAD LES PERGOLAS DE SIGOULES</v>
      </c>
      <c r="C1584" t="s">
        <v>70</v>
      </c>
    </row>
    <row r="1585" spans="1:3" x14ac:dyDescent="0.25">
      <c r="A1585" t="str">
        <f>"240013896"</f>
        <v>240013896</v>
      </c>
      <c r="B1585" t="str">
        <f>"EHPAD LES JARDINS DE THENON"</f>
        <v>EHPAD LES JARDINS DE THENON</v>
      </c>
      <c r="C1585" t="s">
        <v>70</v>
      </c>
    </row>
    <row r="1586" spans="1:3" x14ac:dyDescent="0.25">
      <c r="A1586" t="str">
        <f>"240013953"</f>
        <v>240013953</v>
      </c>
      <c r="B1586" t="str">
        <f>"EHPAD MAISON DU PAYS DE VERGT"</f>
        <v>EHPAD MAISON DU PAYS DE VERGT</v>
      </c>
      <c r="C1586" t="s">
        <v>70</v>
      </c>
    </row>
    <row r="1587" spans="1:3" x14ac:dyDescent="0.25">
      <c r="A1587" t="str">
        <f>"240013961"</f>
        <v>240013961</v>
      </c>
      <c r="B1587" t="str">
        <f>"EHPAD KORIAN YVAN ROQUE"</f>
        <v>EHPAD KORIAN YVAN ROQUE</v>
      </c>
      <c r="C1587" t="s">
        <v>70</v>
      </c>
    </row>
    <row r="1588" spans="1:3" x14ac:dyDescent="0.25">
      <c r="A1588" t="str">
        <f>"240014001"</f>
        <v>240014001</v>
      </c>
      <c r="B1588" t="str">
        <f>"EHPAD DE LOLME"</f>
        <v>EHPAD DE LOLME</v>
      </c>
      <c r="C1588" t="s">
        <v>70</v>
      </c>
    </row>
    <row r="1589" spans="1:3" x14ac:dyDescent="0.25">
      <c r="A1589" t="str">
        <f>"240014506"</f>
        <v>240014506</v>
      </c>
      <c r="B1589" t="str">
        <f>"EHPAD RESIDENCE LES CHAMINADES"</f>
        <v>EHPAD RESIDENCE LES CHAMINADES</v>
      </c>
      <c r="C1589" t="s">
        <v>70</v>
      </c>
    </row>
    <row r="1590" spans="1:3" x14ac:dyDescent="0.25">
      <c r="A1590" t="str">
        <f>"240014902"</f>
        <v>240014902</v>
      </c>
      <c r="B1590" t="str">
        <f>"EHPAD LES JARDINS DE PLAISANCE"</f>
        <v>EHPAD LES JARDINS DE PLAISANCE</v>
      </c>
      <c r="C1590" t="s">
        <v>70</v>
      </c>
    </row>
    <row r="1591" spans="1:3" x14ac:dyDescent="0.25">
      <c r="A1591" t="str">
        <f>"240015131"</f>
        <v>240015131</v>
      </c>
      <c r="B1591" t="str">
        <f>"EHPAD LA MEYNARDIE"</f>
        <v>EHPAD LA MEYNARDIE</v>
      </c>
      <c r="C1591" t="s">
        <v>70</v>
      </c>
    </row>
    <row r="1592" spans="1:3" x14ac:dyDescent="0.25">
      <c r="A1592" t="str">
        <f>"240015669"</f>
        <v>240015669</v>
      </c>
      <c r="B1592" t="str">
        <f>"EHPAD LES VIGNES"</f>
        <v>EHPAD LES VIGNES</v>
      </c>
      <c r="C1592" t="s">
        <v>70</v>
      </c>
    </row>
    <row r="1593" spans="1:3" x14ac:dyDescent="0.25">
      <c r="A1593" t="str">
        <f>"250000429"</f>
        <v>250000429</v>
      </c>
      <c r="B1593" t="str">
        <f>"EHPAD BELLEVAUX"</f>
        <v>EHPAD BELLEVAUX</v>
      </c>
      <c r="C1593" t="s">
        <v>64</v>
      </c>
    </row>
    <row r="1594" spans="1:3" x14ac:dyDescent="0.25">
      <c r="A1594" t="str">
        <f>"250002078"</f>
        <v>250002078</v>
      </c>
      <c r="B1594" t="str">
        <f>"EHPAD SAINT JOSEPH  FLANGEBOUCHE"</f>
        <v>EHPAD SAINT JOSEPH  FLANGEBOUCHE</v>
      </c>
      <c r="C1594" t="s">
        <v>64</v>
      </c>
    </row>
    <row r="1595" spans="1:3" x14ac:dyDescent="0.25">
      <c r="A1595" t="str">
        <f>"250002102"</f>
        <v>250002102</v>
      </c>
      <c r="B1595" t="str">
        <f>"EHPAD CHATEAU VORGET ROUGEMONT"</f>
        <v>EHPAD CHATEAU VORGET ROUGEMONT</v>
      </c>
      <c r="C1595" t="s">
        <v>64</v>
      </c>
    </row>
    <row r="1596" spans="1:3" x14ac:dyDescent="0.25">
      <c r="A1596" t="str">
        <f>"250002128"</f>
        <v>250002128</v>
      </c>
      <c r="B1596" t="str">
        <f>"EHPAD RESIDENCE DU PARC"</f>
        <v>EHPAD RESIDENCE DU PARC</v>
      </c>
      <c r="C1596" t="s">
        <v>64</v>
      </c>
    </row>
    <row r="1597" spans="1:3" x14ac:dyDescent="0.25">
      <c r="A1597" t="str">
        <f>"250002136"</f>
        <v>250002136</v>
      </c>
      <c r="B1597" t="str">
        <f>"EHPAD DR PIERRE GERARD L ISLE/DOUBS"</f>
        <v>EHPAD DR PIERRE GERARD L ISLE/DOUBS</v>
      </c>
      <c r="C1597" t="s">
        <v>64</v>
      </c>
    </row>
    <row r="1598" spans="1:3" x14ac:dyDescent="0.25">
      <c r="A1598" t="str">
        <f>"250002722"</f>
        <v>250002722</v>
      </c>
      <c r="B1598" t="str">
        <f>"KORIAN LE DOUBS RIVAGE"</f>
        <v>KORIAN LE DOUBS RIVAGE</v>
      </c>
      <c r="C1598" t="s">
        <v>64</v>
      </c>
    </row>
    <row r="1599" spans="1:3" x14ac:dyDescent="0.25">
      <c r="A1599" t="str">
        <f>"250002862"</f>
        <v>250002862</v>
      </c>
      <c r="B1599" t="str">
        <f>"EHPAD FERNAND MICHAUD LEVIER"</f>
        <v>EHPAD FERNAND MICHAUD LEVIER</v>
      </c>
      <c r="C1599" t="s">
        <v>64</v>
      </c>
    </row>
    <row r="1600" spans="1:3" x14ac:dyDescent="0.25">
      <c r="A1600" t="str">
        <f>"250002888"</f>
        <v>250002888</v>
      </c>
      <c r="B1600" t="str">
        <f>"EHPAD JACQUES WEINMAN CSHLD AVANNE"</f>
        <v>EHPAD JACQUES WEINMAN CSHLD AVANNE</v>
      </c>
      <c r="C1600" t="s">
        <v>64</v>
      </c>
    </row>
    <row r="1601" spans="1:3" x14ac:dyDescent="0.25">
      <c r="A1601" t="str">
        <f>"250003985"</f>
        <v>250003985</v>
      </c>
      <c r="B1601" t="str">
        <f>"EHPAD LES MAGNOLIAS PONT DE ROIDE"</f>
        <v>EHPAD LES MAGNOLIAS PONT DE ROIDE</v>
      </c>
      <c r="C1601" t="s">
        <v>64</v>
      </c>
    </row>
    <row r="1602" spans="1:3" x14ac:dyDescent="0.25">
      <c r="A1602" t="str">
        <f>"250004041"</f>
        <v>250004041</v>
      </c>
      <c r="B1602" t="str">
        <f>"EHPAD DU LARMONT DOUBS"</f>
        <v>EHPAD DU LARMONT DOUBS</v>
      </c>
      <c r="C1602" t="s">
        <v>64</v>
      </c>
    </row>
    <row r="1603" spans="1:3" x14ac:dyDescent="0.25">
      <c r="A1603" t="str">
        <f>"250004165"</f>
        <v>250004165</v>
      </c>
      <c r="B1603" t="str">
        <f>"EHPAD ALEXIS MARQUISET MAMIROLLE"</f>
        <v>EHPAD ALEXIS MARQUISET MAMIROLLE</v>
      </c>
      <c r="C1603" t="s">
        <v>64</v>
      </c>
    </row>
    <row r="1604" spans="1:3" x14ac:dyDescent="0.25">
      <c r="A1604" t="str">
        <f>"250004173"</f>
        <v>250004173</v>
      </c>
      <c r="B1604" t="str">
        <f>"EHPAD BLAMONT"</f>
        <v>EHPAD BLAMONT</v>
      </c>
      <c r="C1604" t="s">
        <v>64</v>
      </c>
    </row>
    <row r="1605" spans="1:3" x14ac:dyDescent="0.25">
      <c r="A1605" t="str">
        <f>"250004215"</f>
        <v>250004215</v>
      </c>
      <c r="B1605" t="str">
        <f>"EHPAD CH BAUME LES DAMES"</f>
        <v>EHPAD CH BAUME LES DAMES</v>
      </c>
      <c r="C1605" t="s">
        <v>64</v>
      </c>
    </row>
    <row r="1606" spans="1:3" x14ac:dyDescent="0.25">
      <c r="A1606" t="str">
        <f>"250004223"</f>
        <v>250004223</v>
      </c>
      <c r="B1606" t="str">
        <f>"EHPAD CH PAUL NAPPEZ MORTEAU"</f>
        <v>EHPAD CH PAUL NAPPEZ MORTEAU</v>
      </c>
      <c r="C1606" t="s">
        <v>64</v>
      </c>
    </row>
    <row r="1607" spans="1:3" x14ac:dyDescent="0.25">
      <c r="A1607" t="str">
        <f>"250004264"</f>
        <v>250004264</v>
      </c>
      <c r="B1607" t="str">
        <f>"EHPAD ETABLISSEMENT DE SANTE QUINGEY"</f>
        <v>EHPAD ETABLISSEMENT DE SANTE QUINGEY</v>
      </c>
      <c r="C1607" t="s">
        <v>64</v>
      </c>
    </row>
    <row r="1608" spans="1:3" x14ac:dyDescent="0.25">
      <c r="A1608" t="str">
        <f>"250004322"</f>
        <v>250004322</v>
      </c>
      <c r="B1608" t="str">
        <f>"EHPAD LA RETRAITE LES 7 COLLINES"</f>
        <v>EHPAD LA RETRAITE LES 7 COLLINES</v>
      </c>
      <c r="C1608" t="s">
        <v>64</v>
      </c>
    </row>
    <row r="1609" spans="1:3" x14ac:dyDescent="0.25">
      <c r="A1609" t="str">
        <f>"250004330"</f>
        <v>250004330</v>
      </c>
      <c r="B1609" t="str">
        <f>"EHPAD JEAN XXIII"</f>
        <v>EHPAD JEAN XXIII</v>
      </c>
      <c r="C1609" t="s">
        <v>64</v>
      </c>
    </row>
    <row r="1610" spans="1:3" x14ac:dyDescent="0.25">
      <c r="A1610" t="str">
        <f>"250004496"</f>
        <v>250004496</v>
      </c>
      <c r="B1610" t="str">
        <f>"EHPAD ST FERJEUX"</f>
        <v>EHPAD ST FERJEUX</v>
      </c>
      <c r="C1610" t="s">
        <v>64</v>
      </c>
    </row>
    <row r="1611" spans="1:3" x14ac:dyDescent="0.25">
      <c r="A1611" t="str">
        <f>"250007119"</f>
        <v>250007119</v>
      </c>
      <c r="B1611" t="str">
        <f>"EHPAD DU VAL DE LOUE ORNANS"</f>
        <v>EHPAD DU VAL DE LOUE ORNANS</v>
      </c>
      <c r="C1611" t="s">
        <v>64</v>
      </c>
    </row>
    <row r="1612" spans="1:3" x14ac:dyDescent="0.25">
      <c r="A1612" t="str">
        <f>"250007614"</f>
        <v>250007614</v>
      </c>
      <c r="B1612" t="str">
        <f>"EHPAD BETHANIE"</f>
        <v>EHPAD BETHANIE</v>
      </c>
      <c r="C1612" t="s">
        <v>64</v>
      </c>
    </row>
    <row r="1613" spans="1:3" x14ac:dyDescent="0.25">
      <c r="A1613" t="str">
        <f>"250007762"</f>
        <v>250007762</v>
      </c>
      <c r="B1613" t="str">
        <f>"EHPAD RENE SALINS MOUTHE"</f>
        <v>EHPAD RENE SALINS MOUTHE</v>
      </c>
      <c r="C1613" t="s">
        <v>64</v>
      </c>
    </row>
    <row r="1614" spans="1:3" x14ac:dyDescent="0.25">
      <c r="A1614" t="str">
        <f>"250008349"</f>
        <v>250008349</v>
      </c>
      <c r="B1614" t="str">
        <f>"EHPAD RESIDENCE SURLEAU"</f>
        <v>EHPAD RESIDENCE SURLEAU</v>
      </c>
      <c r="C1614" t="s">
        <v>64</v>
      </c>
    </row>
    <row r="1615" spans="1:3" x14ac:dyDescent="0.25">
      <c r="A1615" t="str">
        <f>"250009651"</f>
        <v>250009651</v>
      </c>
      <c r="B1615" t="str">
        <f>"EHPAD VALLEE MEDICALE"</f>
        <v>EHPAD VALLEE MEDICALE</v>
      </c>
      <c r="C1615" t="s">
        <v>64</v>
      </c>
    </row>
    <row r="1616" spans="1:3" x14ac:dyDescent="0.25">
      <c r="A1616" t="str">
        <f>"250010543"</f>
        <v>250010543</v>
      </c>
      <c r="B1616" t="str">
        <f>"EHPAD KORIAN VILL ALIZE"</f>
        <v>EHPAD KORIAN VILL ALIZE</v>
      </c>
      <c r="C1616" t="s">
        <v>64</v>
      </c>
    </row>
    <row r="1617" spans="1:3" x14ac:dyDescent="0.25">
      <c r="A1617" t="str">
        <f>"250010568"</f>
        <v>250010568</v>
      </c>
      <c r="B1617" t="str">
        <f>"EHPAD LE VERCELLIS"</f>
        <v>EHPAD LE VERCELLIS</v>
      </c>
      <c r="C1617" t="s">
        <v>64</v>
      </c>
    </row>
    <row r="1618" spans="1:3" x14ac:dyDescent="0.25">
      <c r="A1618" t="str">
        <f>"250010576"</f>
        <v>250010576</v>
      </c>
      <c r="B1618" t="str">
        <f>"EHPAD MARCEL GUEY AUXON"</f>
        <v>EHPAD MARCEL GUEY AUXON</v>
      </c>
      <c r="C1618" t="s">
        <v>64</v>
      </c>
    </row>
    <row r="1619" spans="1:3" x14ac:dyDescent="0.25">
      <c r="A1619" t="str">
        <f>"250010659"</f>
        <v>250010659</v>
      </c>
      <c r="B1619" t="str">
        <f>"EHPAD LES SOLEILS  BAVANS"</f>
        <v>EHPAD LES SOLEILS  BAVANS</v>
      </c>
      <c r="C1619" t="s">
        <v>64</v>
      </c>
    </row>
    <row r="1620" spans="1:3" x14ac:dyDescent="0.25">
      <c r="A1620" t="str">
        <f>"250010667"</f>
        <v>250010667</v>
      </c>
      <c r="B1620" t="str">
        <f>"EHPAD LES COQUELICOTS SELONCOURT"</f>
        <v>EHPAD LES COQUELICOTS SELONCOURT</v>
      </c>
      <c r="C1620" t="s">
        <v>64</v>
      </c>
    </row>
    <row r="1621" spans="1:3" x14ac:dyDescent="0.25">
      <c r="A1621" t="str">
        <f>"250010683"</f>
        <v>250010683</v>
      </c>
      <c r="B1621" t="str">
        <f>"EHPAD LES TOURELLES SANCEY"</f>
        <v>EHPAD LES TOURELLES SANCEY</v>
      </c>
      <c r="C1621" t="s">
        <v>64</v>
      </c>
    </row>
    <row r="1622" spans="1:3" x14ac:dyDescent="0.25">
      <c r="A1622" t="str">
        <f>"250010691"</f>
        <v>250010691</v>
      </c>
      <c r="B1622" t="str">
        <f>"EHPAD LES VIGNIERES SOCHAUX"</f>
        <v>EHPAD LES VIGNIERES SOCHAUX</v>
      </c>
      <c r="C1622" t="s">
        <v>64</v>
      </c>
    </row>
    <row r="1623" spans="1:3" x14ac:dyDescent="0.25">
      <c r="A1623" t="str">
        <f>"250011624"</f>
        <v>250011624</v>
      </c>
      <c r="B1623" t="str">
        <f>"EHPAD LA TOURNELLE ETUPES"</f>
        <v>EHPAD LA TOURNELLE ETUPES</v>
      </c>
      <c r="C1623" t="s">
        <v>64</v>
      </c>
    </row>
    <row r="1624" spans="1:3" x14ac:dyDescent="0.25">
      <c r="A1624" t="str">
        <f>"250011863"</f>
        <v>250011863</v>
      </c>
      <c r="B1624" t="str">
        <f>"EHPAD LES GENTIANES FLEURIES FRASNE"</f>
        <v>EHPAD LES GENTIANES FLEURIES FRASNE</v>
      </c>
      <c r="C1624" t="s">
        <v>64</v>
      </c>
    </row>
    <row r="1625" spans="1:3" x14ac:dyDescent="0.25">
      <c r="A1625" t="str">
        <f>"250011871"</f>
        <v>250011871</v>
      </c>
      <c r="B1625" t="str">
        <f>"EHPAD LES JARDINS D ATHENA SAINT VIT"</f>
        <v>EHPAD LES JARDINS D ATHENA SAINT VIT</v>
      </c>
      <c r="C1625" t="s">
        <v>64</v>
      </c>
    </row>
    <row r="1626" spans="1:3" x14ac:dyDescent="0.25">
      <c r="A1626" t="str">
        <f>"250011939"</f>
        <v>250011939</v>
      </c>
      <c r="B1626" t="str">
        <f>"EHPAD LAURENT VALZER"</f>
        <v>EHPAD LAURENT VALZER</v>
      </c>
      <c r="C1626" t="s">
        <v>64</v>
      </c>
    </row>
    <row r="1627" spans="1:3" x14ac:dyDescent="0.25">
      <c r="A1627" t="str">
        <f>"250014628"</f>
        <v>250014628</v>
      </c>
      <c r="B1627" t="str">
        <f>"EHPAD LE HAVRE DES JONCHETS"</f>
        <v>EHPAD LE HAVRE DES JONCHETS</v>
      </c>
      <c r="C1627" t="s">
        <v>64</v>
      </c>
    </row>
    <row r="1628" spans="1:3" x14ac:dyDescent="0.25">
      <c r="A1628" t="str">
        <f>"250015245"</f>
        <v>250015245</v>
      </c>
      <c r="B1628" t="str">
        <f>"EHPAD ALEXIS MARQUISET ANNEXE SAONE"</f>
        <v>EHPAD ALEXIS MARQUISET ANNEXE SAONE</v>
      </c>
      <c r="C1628" t="s">
        <v>64</v>
      </c>
    </row>
    <row r="1629" spans="1:3" x14ac:dyDescent="0.25">
      <c r="A1629" t="str">
        <f>"250015799"</f>
        <v>250015799</v>
      </c>
      <c r="B1629" t="str">
        <f>"EHPAD RESIDENCE GRANVELLE"</f>
        <v>EHPAD RESIDENCE GRANVELLE</v>
      </c>
      <c r="C1629" t="s">
        <v>64</v>
      </c>
    </row>
    <row r="1630" spans="1:3" x14ac:dyDescent="0.25">
      <c r="A1630" t="str">
        <f>"250015849"</f>
        <v>250015849</v>
      </c>
      <c r="B1630" t="str">
        <f>"EHPAD PIERRE HAUGER"</f>
        <v>EHPAD PIERRE HAUGER</v>
      </c>
      <c r="C1630" t="s">
        <v>64</v>
      </c>
    </row>
    <row r="1631" spans="1:3" x14ac:dyDescent="0.25">
      <c r="A1631" t="str">
        <f>"250016318"</f>
        <v>250016318</v>
      </c>
      <c r="B1631" t="str">
        <f>"EHPAD LE CHANT DE L EAU BART"</f>
        <v>EHPAD LE CHANT DE L EAU BART</v>
      </c>
      <c r="C1631" t="s">
        <v>64</v>
      </c>
    </row>
    <row r="1632" spans="1:3" x14ac:dyDescent="0.25">
      <c r="A1632" t="str">
        <f>"250016581"</f>
        <v>250016581</v>
      </c>
      <c r="B1632" t="str">
        <f>"EHPAD FRANCHE MONTAGNE MAICHE"</f>
        <v>EHPAD FRANCHE MONTAGNE MAICHE</v>
      </c>
      <c r="C1632" t="s">
        <v>64</v>
      </c>
    </row>
    <row r="1633" spans="1:3" x14ac:dyDescent="0.25">
      <c r="A1633" t="str">
        <f>"250017233"</f>
        <v>250017233</v>
      </c>
      <c r="B1633" t="str">
        <f>"EHPAD MAISON JOLY HNFC"</f>
        <v>EHPAD MAISON JOLY HNFC</v>
      </c>
      <c r="C1633" t="s">
        <v>64</v>
      </c>
    </row>
    <row r="1634" spans="1:3" x14ac:dyDescent="0.25">
      <c r="A1634" t="str">
        <f>"250018843"</f>
        <v>250018843</v>
      </c>
      <c r="B1634" t="str">
        <f>"RESIDENCE DU BOIS JOLI"</f>
        <v>RESIDENCE DU BOIS JOLI</v>
      </c>
      <c r="C1634" t="s">
        <v>64</v>
      </c>
    </row>
    <row r="1635" spans="1:3" x14ac:dyDescent="0.25">
      <c r="A1635" t="str">
        <f>"250019718"</f>
        <v>250019718</v>
      </c>
      <c r="B1635" t="str">
        <f>"EHPAD LA RETRAITE LES QUATRE TILLEULS"</f>
        <v>EHPAD LA RETRAITE LES QUATRE TILLEULS</v>
      </c>
      <c r="C1635" t="s">
        <v>64</v>
      </c>
    </row>
    <row r="1636" spans="1:3" x14ac:dyDescent="0.25">
      <c r="A1636" t="str">
        <f>"260000898"</f>
        <v>260000898</v>
      </c>
      <c r="B1636" t="str">
        <f>"EHPAD  LES FLEURIADES"</f>
        <v>EHPAD  LES FLEURIADES</v>
      </c>
      <c r="C1636" t="s">
        <v>61</v>
      </c>
    </row>
    <row r="1637" spans="1:3" x14ac:dyDescent="0.25">
      <c r="A1637" t="str">
        <f>"260000906"</f>
        <v>260000906</v>
      </c>
      <c r="B1637" t="str">
        <f>"EHPAD LA MATINIERE"</f>
        <v>EHPAD LA MATINIERE</v>
      </c>
      <c r="C1637" t="s">
        <v>61</v>
      </c>
    </row>
    <row r="1638" spans="1:3" x14ac:dyDescent="0.25">
      <c r="A1638" t="str">
        <f>"260002019"</f>
        <v>260002019</v>
      </c>
      <c r="B1638" t="str">
        <f>"EHPAD LES CHENES"</f>
        <v>EHPAD LES CHENES</v>
      </c>
      <c r="C1638" t="s">
        <v>61</v>
      </c>
    </row>
    <row r="1639" spans="1:3" x14ac:dyDescent="0.25">
      <c r="A1639" t="str">
        <f>"260002068"</f>
        <v>260002068</v>
      </c>
      <c r="B1639" t="str">
        <f>"EHPAD LES TOURTERELLES"</f>
        <v>EHPAD LES TOURTERELLES</v>
      </c>
      <c r="C1639" t="s">
        <v>61</v>
      </c>
    </row>
    <row r="1640" spans="1:3" x14ac:dyDescent="0.25">
      <c r="A1640" t="str">
        <f>"260003868"</f>
        <v>260003868</v>
      </c>
      <c r="B1640" t="str">
        <f>"EHPAD RESIDENCE COTEAUX DE MARSANNE"</f>
        <v>EHPAD RESIDENCE COTEAUX DE MARSANNE</v>
      </c>
      <c r="C1640" t="s">
        <v>61</v>
      </c>
    </row>
    <row r="1641" spans="1:3" x14ac:dyDescent="0.25">
      <c r="A1641" t="str">
        <f>"260005061"</f>
        <v>260005061</v>
      </c>
      <c r="B1641" t="str">
        <f>"EHPAD CLAIREFOND _ HDN SITE DE ROMANS"</f>
        <v>EHPAD CLAIREFOND _ HDN SITE DE ROMANS</v>
      </c>
      <c r="C1641" t="s">
        <v>61</v>
      </c>
    </row>
    <row r="1642" spans="1:3" x14ac:dyDescent="0.25">
      <c r="A1642" t="str">
        <f>"260005186"</f>
        <v>260005186</v>
      </c>
      <c r="B1642" t="str">
        <f>"EHPAD DE BEAUVALLON"</f>
        <v>EHPAD DE BEAUVALLON</v>
      </c>
      <c r="C1642" t="s">
        <v>61</v>
      </c>
    </row>
    <row r="1643" spans="1:3" x14ac:dyDescent="0.25">
      <c r="A1643" t="str">
        <f>"260005228"</f>
        <v>260005228</v>
      </c>
      <c r="B1643" t="str">
        <f>"EHPAD  MAISON DE L'AUTOMNE"</f>
        <v>EHPAD  MAISON DE L'AUTOMNE</v>
      </c>
      <c r="C1643" t="s">
        <v>61</v>
      </c>
    </row>
    <row r="1644" spans="1:3" x14ac:dyDescent="0.25">
      <c r="A1644" t="str">
        <f>"260005236"</f>
        <v>260005236</v>
      </c>
      <c r="B1644" t="str">
        <f>"EHPAD L 'OLIVIER"</f>
        <v>EHPAD L 'OLIVIER</v>
      </c>
      <c r="C1644" t="s">
        <v>61</v>
      </c>
    </row>
    <row r="1645" spans="1:3" x14ac:dyDescent="0.25">
      <c r="A1645" t="str">
        <f>"260005244"</f>
        <v>260005244</v>
      </c>
      <c r="B1645" t="str">
        <f>"EHPAD LEIS ESCHIROU"</f>
        <v>EHPAD LEIS ESCHIROU</v>
      </c>
      <c r="C1645" t="s">
        <v>61</v>
      </c>
    </row>
    <row r="1646" spans="1:3" x14ac:dyDescent="0.25">
      <c r="A1646" t="str">
        <f>"260005418"</f>
        <v>260005418</v>
      </c>
      <c r="B1646" t="str">
        <f>"EHPAD BERNARD EYRAUD - CITÉ DES AINÉS"</f>
        <v>EHPAD BERNARD EYRAUD - CITÉ DES AINÉS</v>
      </c>
      <c r="C1646" t="s">
        <v>61</v>
      </c>
    </row>
    <row r="1647" spans="1:3" x14ac:dyDescent="0.25">
      <c r="A1647" t="str">
        <f>"260005426"</f>
        <v>260005426</v>
      </c>
      <c r="B1647" t="str">
        <f>"EHPAD DAUPHINE"</f>
        <v>EHPAD DAUPHINE</v>
      </c>
      <c r="C1647" t="s">
        <v>61</v>
      </c>
    </row>
    <row r="1648" spans="1:3" x14ac:dyDescent="0.25">
      <c r="A1648" t="str">
        <f>"260005434"</f>
        <v>260005434</v>
      </c>
      <c r="B1648" t="str">
        <f>"EHPAD BEAUSOLEIL"</f>
        <v>EHPAD BEAUSOLEIL</v>
      </c>
      <c r="C1648" t="s">
        <v>61</v>
      </c>
    </row>
    <row r="1649" spans="1:3" x14ac:dyDescent="0.25">
      <c r="A1649" t="str">
        <f>"260005442"</f>
        <v>260005442</v>
      </c>
      <c r="B1649" t="str">
        <f>"EHPAD BENJAMIN DELESSERT"</f>
        <v>EHPAD BENJAMIN DELESSERT</v>
      </c>
      <c r="C1649" t="s">
        <v>61</v>
      </c>
    </row>
    <row r="1650" spans="1:3" x14ac:dyDescent="0.25">
      <c r="A1650" t="str">
        <f>"260005517"</f>
        <v>260005517</v>
      </c>
      <c r="B1650" t="str">
        <f>"EHPAD  L'ENSOULEIADO"</f>
        <v>EHPAD  L'ENSOULEIADO</v>
      </c>
      <c r="C1650" t="s">
        <v>61</v>
      </c>
    </row>
    <row r="1651" spans="1:3" x14ac:dyDescent="0.25">
      <c r="A1651" t="str">
        <f>"260005525"</f>
        <v>260005525</v>
      </c>
      <c r="B1651" t="str">
        <f>"EHPAD 'SAINTE GERMAINE'"</f>
        <v>EHPAD 'SAINTE GERMAINE'</v>
      </c>
      <c r="C1651" t="s">
        <v>61</v>
      </c>
    </row>
    <row r="1652" spans="1:3" x14ac:dyDescent="0.25">
      <c r="A1652" t="str">
        <f>"260005533"</f>
        <v>260005533</v>
      </c>
      <c r="B1652" t="str">
        <f>"EHPAD SAINTE MARTHE"</f>
        <v>EHPAD SAINTE MARTHE</v>
      </c>
      <c r="C1652" t="s">
        <v>61</v>
      </c>
    </row>
    <row r="1653" spans="1:3" x14ac:dyDescent="0.25">
      <c r="A1653" t="str">
        <f>"260005566"</f>
        <v>260005566</v>
      </c>
      <c r="B1653" t="str">
        <f>"EHPAD LA POUSTERLE"</f>
        <v>EHPAD LA POUSTERLE</v>
      </c>
      <c r="C1653" t="s">
        <v>61</v>
      </c>
    </row>
    <row r="1654" spans="1:3" x14ac:dyDescent="0.25">
      <c r="A1654" t="str">
        <f>"260005574"</f>
        <v>260005574</v>
      </c>
      <c r="B1654" t="str">
        <f>"EHPAD CAUZID"</f>
        <v>EHPAD CAUZID</v>
      </c>
      <c r="C1654" t="s">
        <v>61</v>
      </c>
    </row>
    <row r="1655" spans="1:3" x14ac:dyDescent="0.25">
      <c r="A1655" t="str">
        <f>"260005582"</f>
        <v>260005582</v>
      </c>
      <c r="B1655" t="str">
        <f>"EHPAD LES MINIMES"</f>
        <v>EHPAD LES MINIMES</v>
      </c>
      <c r="C1655" t="s">
        <v>61</v>
      </c>
    </row>
    <row r="1656" spans="1:3" x14ac:dyDescent="0.25">
      <c r="A1656" t="str">
        <f>"260005590"</f>
        <v>260005590</v>
      </c>
      <c r="B1656" t="str">
        <f>"LE CHATEAU"</f>
        <v>LE CHATEAU</v>
      </c>
      <c r="C1656" t="s">
        <v>61</v>
      </c>
    </row>
    <row r="1657" spans="1:3" x14ac:dyDescent="0.25">
      <c r="A1657" t="str">
        <f>"260005616"</f>
        <v>260005616</v>
      </c>
      <c r="B1657" t="str">
        <f>"EHPAD SAINTE ANNE"</f>
        <v>EHPAD SAINTE ANNE</v>
      </c>
      <c r="C1657" t="s">
        <v>61</v>
      </c>
    </row>
    <row r="1658" spans="1:3" x14ac:dyDescent="0.25">
      <c r="A1658" t="str">
        <f>"260005624"</f>
        <v>260005624</v>
      </c>
      <c r="B1658" t="str">
        <f>"EHPAD ST JOSEPH"</f>
        <v>EHPAD ST JOSEPH</v>
      </c>
      <c r="C1658" t="s">
        <v>61</v>
      </c>
    </row>
    <row r="1659" spans="1:3" x14ac:dyDescent="0.25">
      <c r="A1659" t="str">
        <f>"260005681"</f>
        <v>260005681</v>
      </c>
      <c r="B1659" t="str">
        <f>"EHPAD LA MANOUDIERE"</f>
        <v>EHPAD LA MANOUDIERE</v>
      </c>
      <c r="C1659" t="s">
        <v>61</v>
      </c>
    </row>
    <row r="1660" spans="1:3" x14ac:dyDescent="0.25">
      <c r="A1660" t="str">
        <f>"260006168"</f>
        <v>260006168</v>
      </c>
      <c r="B1660" t="str">
        <f>"EHPAD - MAISON DE BEAUVOIR"</f>
        <v>EHPAD - MAISON DE BEAUVOIR</v>
      </c>
      <c r="C1660" t="s">
        <v>61</v>
      </c>
    </row>
    <row r="1661" spans="1:3" x14ac:dyDescent="0.25">
      <c r="A1661" t="str">
        <f>"260006176"</f>
        <v>260006176</v>
      </c>
      <c r="B1661" t="str">
        <f>"EHPAD L' ARNAUD"</f>
        <v>EHPAD L' ARNAUD</v>
      </c>
      <c r="C1661" t="s">
        <v>61</v>
      </c>
    </row>
    <row r="1662" spans="1:3" x14ac:dyDescent="0.25">
      <c r="A1662" t="str">
        <f>"260006184"</f>
        <v>260006184</v>
      </c>
      <c r="B1662" t="str">
        <f>"EHPAD LES TILLEULS"</f>
        <v>EHPAD LES TILLEULS</v>
      </c>
      <c r="C1662" t="s">
        <v>61</v>
      </c>
    </row>
    <row r="1663" spans="1:3" x14ac:dyDescent="0.25">
      <c r="A1663" t="str">
        <f>"260006218"</f>
        <v>260006218</v>
      </c>
      <c r="B1663" t="str">
        <f>"EHPAD   LES CEDRES"</f>
        <v>EHPAD   LES CEDRES</v>
      </c>
      <c r="C1663" t="s">
        <v>61</v>
      </c>
    </row>
    <row r="1664" spans="1:3" x14ac:dyDescent="0.25">
      <c r="A1664" t="str">
        <f>"260006234"</f>
        <v>260006234</v>
      </c>
      <c r="B1664" t="str">
        <f>"EHPAD ST JOSEPH _ ST VALLIER"</f>
        <v>EHPAD ST JOSEPH _ ST VALLIER</v>
      </c>
      <c r="C1664" t="s">
        <v>61</v>
      </c>
    </row>
    <row r="1665" spans="1:3" x14ac:dyDescent="0.25">
      <c r="A1665" t="str">
        <f>"260006531"</f>
        <v>260006531</v>
      </c>
      <c r="B1665" t="str">
        <f>"EHPAD ST FRANCOIS"</f>
        <v>EHPAD ST FRANCOIS</v>
      </c>
      <c r="C1665" t="s">
        <v>61</v>
      </c>
    </row>
    <row r="1666" spans="1:3" x14ac:dyDescent="0.25">
      <c r="A1666" t="str">
        <f>"260009162"</f>
        <v>260009162</v>
      </c>
      <c r="B1666" t="str">
        <f>"EHPAD DE DIEULEFIT"</f>
        <v>EHPAD DE DIEULEFIT</v>
      </c>
      <c r="C1666" t="s">
        <v>61</v>
      </c>
    </row>
    <row r="1667" spans="1:3" x14ac:dyDescent="0.25">
      <c r="A1667" t="str">
        <f>"260009170"</f>
        <v>260009170</v>
      </c>
      <c r="B1667" t="str">
        <f>"EHPAD CH CREST"</f>
        <v>EHPAD CH CREST</v>
      </c>
      <c r="C1667" t="s">
        <v>61</v>
      </c>
    </row>
    <row r="1668" spans="1:3" x14ac:dyDescent="0.25">
      <c r="A1668" t="str">
        <f>"260009188"</f>
        <v>260009188</v>
      </c>
      <c r="B1668" t="str">
        <f>"EHPAD CENTRE HOSPITALIER DIE"</f>
        <v>EHPAD CENTRE HOSPITALIER DIE</v>
      </c>
      <c r="C1668" t="s">
        <v>61</v>
      </c>
    </row>
    <row r="1669" spans="1:3" x14ac:dyDescent="0.25">
      <c r="A1669" t="str">
        <f>"260009196"</f>
        <v>260009196</v>
      </c>
      <c r="B1669" t="str">
        <f>"EHPAD LES CARLINES"</f>
        <v>EHPAD LES CARLINES</v>
      </c>
      <c r="C1669" t="s">
        <v>61</v>
      </c>
    </row>
    <row r="1670" spans="1:3" x14ac:dyDescent="0.25">
      <c r="A1670" t="str">
        <f>"260009204"</f>
        <v>260009204</v>
      </c>
      <c r="B1670" t="str">
        <f>"EHPAD ENSOULEIADO"</f>
        <v>EHPAD ENSOULEIADO</v>
      </c>
      <c r="C1670" t="s">
        <v>61</v>
      </c>
    </row>
    <row r="1671" spans="1:3" x14ac:dyDescent="0.25">
      <c r="A1671" t="str">
        <f>"260009303"</f>
        <v>260009303</v>
      </c>
      <c r="B1671" t="str">
        <f>"PUV MAISON D'ACCUEIL 'L'OUSTALET'"</f>
        <v>PUV MAISON D'ACCUEIL 'L'OUSTALET'</v>
      </c>
      <c r="C1671" t="s">
        <v>61</v>
      </c>
    </row>
    <row r="1672" spans="1:3" x14ac:dyDescent="0.25">
      <c r="A1672" t="str">
        <f>"260009311"</f>
        <v>260009311</v>
      </c>
      <c r="B1672" t="str">
        <f>"EHPAD M.-F. PREAULT - CITÉ DES AINÉS"</f>
        <v>EHPAD M.-F. PREAULT - CITÉ DES AINÉS</v>
      </c>
      <c r="C1672" t="s">
        <v>61</v>
      </c>
    </row>
    <row r="1673" spans="1:3" x14ac:dyDescent="0.25">
      <c r="A1673" t="str">
        <f>"260010152"</f>
        <v>260010152</v>
      </c>
      <c r="B1673" t="str">
        <f>"EHPAD RESIDENCE DE LA TOUR"</f>
        <v>EHPAD RESIDENCE DE LA TOUR</v>
      </c>
      <c r="C1673" t="s">
        <v>61</v>
      </c>
    </row>
    <row r="1674" spans="1:3" x14ac:dyDescent="0.25">
      <c r="A1674" t="str">
        <f>"260010467"</f>
        <v>260010467</v>
      </c>
      <c r="B1674" t="str">
        <f>"EHPAD 'LA VOIE ROMAINE'"</f>
        <v>EHPAD 'LA VOIE ROMAINE'</v>
      </c>
      <c r="C1674" t="s">
        <v>61</v>
      </c>
    </row>
    <row r="1675" spans="1:3" x14ac:dyDescent="0.25">
      <c r="A1675" t="str">
        <f>"260010574"</f>
        <v>260010574</v>
      </c>
      <c r="B1675" t="str">
        <f>"EHPAD L'ILE FLEURIE"</f>
        <v>EHPAD L'ILE FLEURIE</v>
      </c>
      <c r="C1675" t="s">
        <v>61</v>
      </c>
    </row>
    <row r="1676" spans="1:3" x14ac:dyDescent="0.25">
      <c r="A1676" t="str">
        <f>"260011044"</f>
        <v>260011044</v>
      </c>
      <c r="B1676" t="str">
        <f>"EHPAD LES VALLEES"</f>
        <v>EHPAD LES VALLEES</v>
      </c>
      <c r="C1676" t="s">
        <v>61</v>
      </c>
    </row>
    <row r="1677" spans="1:3" x14ac:dyDescent="0.25">
      <c r="A1677" t="str">
        <f>"260011051"</f>
        <v>260011051</v>
      </c>
      <c r="B1677" t="str">
        <f>"EHPAD LES JARDINS DE DIANE"</f>
        <v>EHPAD LES JARDINS DE DIANE</v>
      </c>
      <c r="C1677" t="s">
        <v>61</v>
      </c>
    </row>
    <row r="1678" spans="1:3" x14ac:dyDescent="0.25">
      <c r="A1678" t="str">
        <f>"260011184"</f>
        <v>260011184</v>
      </c>
      <c r="B1678" t="str">
        <f>"EHPAD DE L'HERMITAGE"</f>
        <v>EHPAD DE L'HERMITAGE</v>
      </c>
      <c r="C1678" t="s">
        <v>61</v>
      </c>
    </row>
    <row r="1679" spans="1:3" x14ac:dyDescent="0.25">
      <c r="A1679" t="str">
        <f>"260011457"</f>
        <v>260011457</v>
      </c>
      <c r="B1679" t="str">
        <f>"EHPAD BLANCHELAINE"</f>
        <v>EHPAD BLANCHELAINE</v>
      </c>
      <c r="C1679" t="s">
        <v>61</v>
      </c>
    </row>
    <row r="1680" spans="1:3" x14ac:dyDescent="0.25">
      <c r="A1680" t="str">
        <f>"260011655"</f>
        <v>260011655</v>
      </c>
      <c r="B1680" t="str">
        <f>"EHPAD RESIDENCE ROCHECOURBE"</f>
        <v>EHPAD RESIDENCE ROCHECOURBE</v>
      </c>
      <c r="C1680" t="s">
        <v>61</v>
      </c>
    </row>
    <row r="1681" spans="1:3" x14ac:dyDescent="0.25">
      <c r="A1681" t="str">
        <f>"260011754"</f>
        <v>260011754</v>
      </c>
      <c r="B1681" t="str">
        <f>"EHPAD LES PLATANES"</f>
        <v>EHPAD LES PLATANES</v>
      </c>
      <c r="C1681" t="s">
        <v>61</v>
      </c>
    </row>
    <row r="1682" spans="1:3" x14ac:dyDescent="0.25">
      <c r="A1682" t="str">
        <f>"260012109"</f>
        <v>260012109</v>
      </c>
      <c r="B1682" t="str">
        <f>"EHPAD 'LES JARDINS DE L'ALLET'"</f>
        <v>EHPAD 'LES JARDINS DE L'ALLET'</v>
      </c>
      <c r="C1682" t="s">
        <v>61</v>
      </c>
    </row>
    <row r="1683" spans="1:3" x14ac:dyDescent="0.25">
      <c r="A1683" t="str">
        <f>"260012125"</f>
        <v>260012125</v>
      </c>
      <c r="B1683" t="str">
        <f>"EHPAD KORIAN VILLA THAIS"</f>
        <v>EHPAD KORIAN VILLA THAIS</v>
      </c>
      <c r="C1683" t="s">
        <v>61</v>
      </c>
    </row>
    <row r="1684" spans="1:3" x14ac:dyDescent="0.25">
      <c r="A1684" t="str">
        <f>"260012257"</f>
        <v>260012257</v>
      </c>
      <c r="B1684" t="str">
        <f>"EHPAD LES COLLINES"</f>
        <v>EHPAD LES COLLINES</v>
      </c>
      <c r="C1684" t="s">
        <v>61</v>
      </c>
    </row>
    <row r="1685" spans="1:3" x14ac:dyDescent="0.25">
      <c r="A1685" t="str">
        <f>"260012943"</f>
        <v>260012943</v>
      </c>
      <c r="B1685" t="str">
        <f>"EHPAD LA PASTOURELLE"</f>
        <v>EHPAD LA PASTOURELLE</v>
      </c>
      <c r="C1685" t="s">
        <v>61</v>
      </c>
    </row>
    <row r="1686" spans="1:3" x14ac:dyDescent="0.25">
      <c r="A1686" t="str">
        <f>"260012976"</f>
        <v>260012976</v>
      </c>
      <c r="B1686" t="str">
        <f>"EHPAD KORIAN DROME PROVENCALE"</f>
        <v>EHPAD KORIAN DROME PROVENCALE</v>
      </c>
      <c r="C1686" t="s">
        <v>61</v>
      </c>
    </row>
    <row r="1687" spans="1:3" x14ac:dyDescent="0.25">
      <c r="A1687" t="str">
        <f>"260013073"</f>
        <v>260013073</v>
      </c>
      <c r="B1687" t="str">
        <f>"EHPAD LES GLYCINES"</f>
        <v>EHPAD LES GLYCINES</v>
      </c>
      <c r="C1687" t="s">
        <v>61</v>
      </c>
    </row>
    <row r="1688" spans="1:3" x14ac:dyDescent="0.25">
      <c r="A1688" t="str">
        <f>"260013222"</f>
        <v>260013222</v>
      </c>
      <c r="B1688" t="str">
        <f>"EHPAD RESIDENCE MELUSINE"</f>
        <v>EHPAD RESIDENCE MELUSINE</v>
      </c>
      <c r="C1688" t="s">
        <v>61</v>
      </c>
    </row>
    <row r="1689" spans="1:3" x14ac:dyDescent="0.25">
      <c r="A1689" t="str">
        <f>"260014188"</f>
        <v>260014188</v>
      </c>
      <c r="B1689" t="str">
        <f>"EHPAD VALLIS AUREA"</f>
        <v>EHPAD VALLIS AUREA</v>
      </c>
      <c r="C1689" t="s">
        <v>61</v>
      </c>
    </row>
    <row r="1690" spans="1:3" x14ac:dyDescent="0.25">
      <c r="A1690" t="str">
        <f>"260014329"</f>
        <v>260014329</v>
      </c>
      <c r="B1690" t="str">
        <f>"EHPAD RESIDENCE ORPEA LA CLAIRIERE"</f>
        <v>EHPAD RESIDENCE ORPEA LA CLAIRIERE</v>
      </c>
      <c r="C1690" t="s">
        <v>61</v>
      </c>
    </row>
    <row r="1691" spans="1:3" x14ac:dyDescent="0.25">
      <c r="A1691" t="str">
        <f>"260016159"</f>
        <v>260016159</v>
      </c>
      <c r="B1691" t="str">
        <f>"EHPAD LES MONTS DU MATIN"</f>
        <v>EHPAD LES MONTS DU MATIN</v>
      </c>
      <c r="C1691" t="s">
        <v>61</v>
      </c>
    </row>
    <row r="1692" spans="1:3" x14ac:dyDescent="0.25">
      <c r="A1692" t="str">
        <f>"260017462"</f>
        <v>260017462</v>
      </c>
      <c r="B1692" t="str">
        <f>"EHPAD LES HIRONDELLES DE LA GALAURE"</f>
        <v>EHPAD LES HIRONDELLES DE LA GALAURE</v>
      </c>
      <c r="C1692" t="s">
        <v>61</v>
      </c>
    </row>
    <row r="1693" spans="1:3" x14ac:dyDescent="0.25">
      <c r="A1693" t="str">
        <f>"260017991"</f>
        <v>260017991</v>
      </c>
      <c r="B1693" t="str">
        <f>"EHPAD LE CLOS ROUSSET"</f>
        <v>EHPAD LE CLOS ROUSSET</v>
      </c>
      <c r="C1693" t="s">
        <v>61</v>
      </c>
    </row>
    <row r="1694" spans="1:3" x14ac:dyDescent="0.25">
      <c r="A1694" t="str">
        <f>"260018114"</f>
        <v>260018114</v>
      </c>
      <c r="B1694" t="str">
        <f>"EHPAD LES JARDINS DE GENISSIEUX"</f>
        <v>EHPAD LES JARDINS DE GENISSIEUX</v>
      </c>
      <c r="C1694" t="s">
        <v>61</v>
      </c>
    </row>
    <row r="1695" spans="1:3" x14ac:dyDescent="0.25">
      <c r="A1695" t="str">
        <f>"260018122"</f>
        <v>260018122</v>
      </c>
      <c r="B1695" t="str">
        <f>"EHPAD GABRIEL BIANCHERI"</f>
        <v>EHPAD GABRIEL BIANCHERI</v>
      </c>
      <c r="C1695" t="s">
        <v>61</v>
      </c>
    </row>
    <row r="1696" spans="1:3" x14ac:dyDescent="0.25">
      <c r="A1696" t="str">
        <f>"260018213"</f>
        <v>260018213</v>
      </c>
      <c r="B1696" t="str">
        <f>"EHPAD EMILE LOUBET"</f>
        <v>EHPAD EMILE LOUBET</v>
      </c>
      <c r="C1696" t="s">
        <v>61</v>
      </c>
    </row>
    <row r="1697" spans="1:3" x14ac:dyDescent="0.25">
      <c r="A1697" t="str">
        <f>"260018403"</f>
        <v>260018403</v>
      </c>
      <c r="B1697" t="str">
        <f>"EHPAD ROCHE COLOMBE"</f>
        <v>EHPAD ROCHE COLOMBE</v>
      </c>
      <c r="C1697" t="s">
        <v>61</v>
      </c>
    </row>
    <row r="1698" spans="1:3" x14ac:dyDescent="0.25">
      <c r="A1698" t="str">
        <f>"260018742"</f>
        <v>260018742</v>
      </c>
      <c r="B1698" t="str">
        <f>"EHPAD LES PORTES DE PROVENCE"</f>
        <v>EHPAD LES PORTES DE PROVENCE</v>
      </c>
      <c r="C1698" t="s">
        <v>61</v>
      </c>
    </row>
    <row r="1699" spans="1:3" x14ac:dyDescent="0.25">
      <c r="A1699" t="str">
        <f>"260022546"</f>
        <v>260022546</v>
      </c>
      <c r="B1699" t="str">
        <f>"EHPAD LA MAISON DES BUIS"</f>
        <v>EHPAD LA MAISON DES BUIS</v>
      </c>
      <c r="C1699" t="s">
        <v>61</v>
      </c>
    </row>
    <row r="1700" spans="1:3" x14ac:dyDescent="0.25">
      <c r="A1700" t="str">
        <f>"270000979"</f>
        <v>270000979</v>
      </c>
      <c r="B1700" t="str">
        <f>"EHPAD LA MAISON D'HARCOURT"</f>
        <v>EHPAD LA MAISON D'HARCOURT</v>
      </c>
      <c r="C1700" t="s">
        <v>69</v>
      </c>
    </row>
    <row r="1701" spans="1:3" x14ac:dyDescent="0.25">
      <c r="A1701" t="str">
        <f>"270001027"</f>
        <v>270001027</v>
      </c>
      <c r="B1701" t="str">
        <f>"EHPAD LA VERTE COLLINE À IVRY LA BATAI"</f>
        <v>EHPAD LA VERTE COLLINE À IVRY LA BATAI</v>
      </c>
      <c r="C1701" t="s">
        <v>69</v>
      </c>
    </row>
    <row r="1702" spans="1:3" x14ac:dyDescent="0.25">
      <c r="A1702" t="str">
        <f>"270002066"</f>
        <v>270002066</v>
      </c>
      <c r="B1702" t="str">
        <f>"EHPAD BEUZEVILLE-LES FRANCHES TERRES"</f>
        <v>EHPAD BEUZEVILLE-LES FRANCHES TERRES</v>
      </c>
      <c r="C1702" t="s">
        <v>69</v>
      </c>
    </row>
    <row r="1703" spans="1:3" x14ac:dyDescent="0.25">
      <c r="A1703" t="str">
        <f>"270002074"</f>
        <v>270002074</v>
      </c>
      <c r="B1703" t="str">
        <f>"EHPAD LES QUATRE VENTS"</f>
        <v>EHPAD LES QUATRE VENTS</v>
      </c>
      <c r="C1703" t="s">
        <v>69</v>
      </c>
    </row>
    <row r="1704" spans="1:3" x14ac:dyDescent="0.25">
      <c r="A1704" t="str">
        <f>"270002082"</f>
        <v>270002082</v>
      </c>
      <c r="B1704" t="str">
        <f>"EHPAD PONT AUTHOU"</f>
        <v>EHPAD PONT AUTHOU</v>
      </c>
      <c r="C1704" t="s">
        <v>69</v>
      </c>
    </row>
    <row r="1705" spans="1:3" x14ac:dyDescent="0.25">
      <c r="A1705" t="str">
        <f>"270002249"</f>
        <v>270002249</v>
      </c>
      <c r="B1705" t="str">
        <f>"KORIAN VAL AUX FLEURS"</f>
        <v>KORIAN VAL AUX FLEURS</v>
      </c>
      <c r="C1705" t="s">
        <v>69</v>
      </c>
    </row>
    <row r="1706" spans="1:3" x14ac:dyDescent="0.25">
      <c r="A1706" t="str">
        <f>"270002306"</f>
        <v>270002306</v>
      </c>
      <c r="B1706" t="str">
        <f>"EHPAD KORIAN L'ERMITAGE DE LOUVIERS"</f>
        <v>EHPAD KORIAN L'ERMITAGE DE LOUVIERS</v>
      </c>
      <c r="C1706" t="s">
        <v>69</v>
      </c>
    </row>
    <row r="1707" spans="1:3" x14ac:dyDescent="0.25">
      <c r="A1707" t="str">
        <f>"270002322"</f>
        <v>270002322</v>
      </c>
      <c r="B1707" t="str">
        <f>"EHPAD  'AZEMIA' - CCAS EVREUX"</f>
        <v>EHPAD  'AZEMIA' - CCAS EVREUX</v>
      </c>
      <c r="C1707" t="s">
        <v>69</v>
      </c>
    </row>
    <row r="1708" spans="1:3" x14ac:dyDescent="0.25">
      <c r="A1708" t="str">
        <f>"270003692"</f>
        <v>270003692</v>
      </c>
      <c r="B1708" t="str">
        <f>"EHPAD  L'ESCALE DE LA RISLE - BRIONNE"</f>
        <v>EHPAD  L'ESCALE DE LA RISLE - BRIONNE</v>
      </c>
      <c r="C1708" t="s">
        <v>69</v>
      </c>
    </row>
    <row r="1709" spans="1:3" x14ac:dyDescent="0.25">
      <c r="A1709" t="str">
        <f>"270008634"</f>
        <v>270008634</v>
      </c>
      <c r="B1709" t="str">
        <f>"EHPAD SAINT-MICHEL CH EURE-SEINE"</f>
        <v>EHPAD SAINT-MICHEL CH EURE-SEINE</v>
      </c>
      <c r="C1709" t="s">
        <v>69</v>
      </c>
    </row>
    <row r="1710" spans="1:3" x14ac:dyDescent="0.25">
      <c r="A1710" t="str">
        <f>"270008659"</f>
        <v>270008659</v>
      </c>
      <c r="B1710" t="str">
        <f>"EHPAD AUGUSTE RIDOU CH EURE-SEINE"</f>
        <v>EHPAD AUGUSTE RIDOU CH EURE-SEINE</v>
      </c>
      <c r="C1710" t="s">
        <v>69</v>
      </c>
    </row>
    <row r="1711" spans="1:3" x14ac:dyDescent="0.25">
      <c r="A1711" t="str">
        <f>"270008675"</f>
        <v>270008675</v>
      </c>
      <c r="B1711" t="str">
        <f>"EHPAD CENTRE HOSPITALIER DE GISORS"</f>
        <v>EHPAD CENTRE HOSPITALIER DE GISORS</v>
      </c>
      <c r="C1711" t="s">
        <v>69</v>
      </c>
    </row>
    <row r="1712" spans="1:3" x14ac:dyDescent="0.25">
      <c r="A1712" t="str">
        <f>"270008691"</f>
        <v>270008691</v>
      </c>
      <c r="B1712" t="str">
        <f>"EHPAD VANNERIE ET VERNOLINE CH VERNEUI"</f>
        <v>EHPAD VANNERIE ET VERNOLINE CH VERNEUI</v>
      </c>
      <c r="C1712" t="s">
        <v>69</v>
      </c>
    </row>
    <row r="1713" spans="1:3" x14ac:dyDescent="0.25">
      <c r="A1713" t="str">
        <f>"270008725"</f>
        <v>270008725</v>
      </c>
      <c r="B1713" t="str">
        <f>"EHPAD DE LOUVIERS"</f>
        <v>EHPAD DE LOUVIERS</v>
      </c>
      <c r="C1713" t="s">
        <v>69</v>
      </c>
    </row>
    <row r="1714" spans="1:3" x14ac:dyDescent="0.25">
      <c r="A1714" t="str">
        <f>"270009053"</f>
        <v>270009053</v>
      </c>
      <c r="B1714" t="str">
        <f>"EHPAD - CENTRE HOSPITALIER ST JACQUES"</f>
        <v>EHPAD - CENTRE HOSPITALIER ST JACQUES</v>
      </c>
      <c r="C1714" t="s">
        <v>69</v>
      </c>
    </row>
    <row r="1715" spans="1:3" x14ac:dyDescent="0.25">
      <c r="A1715" t="str">
        <f>"270009079"</f>
        <v>270009079</v>
      </c>
      <c r="B1715" t="str">
        <f>"EHPAD CH HURABIELLE BOURG-ACHARD"</f>
        <v>EHPAD CH HURABIELLE BOURG-ACHARD</v>
      </c>
      <c r="C1715" t="s">
        <v>69</v>
      </c>
    </row>
    <row r="1716" spans="1:3" x14ac:dyDescent="0.25">
      <c r="A1716" t="str">
        <f>"270009095"</f>
        <v>270009095</v>
      </c>
      <c r="B1716" t="str">
        <f>"EHPAD DE L'HOPITAL DU NEUBOURG"</f>
        <v>EHPAD DE L'HOPITAL DU NEUBOURG</v>
      </c>
      <c r="C1716" t="s">
        <v>69</v>
      </c>
    </row>
    <row r="1717" spans="1:3" x14ac:dyDescent="0.25">
      <c r="A1717" t="str">
        <f>"270009103"</f>
        <v>270009103</v>
      </c>
      <c r="B1717" t="str">
        <f>"EHPAD CHAG PACY-SUR-EURE"</f>
        <v>EHPAD CHAG PACY-SUR-EURE</v>
      </c>
      <c r="C1717" t="s">
        <v>69</v>
      </c>
    </row>
    <row r="1718" spans="1:3" x14ac:dyDescent="0.25">
      <c r="A1718" t="str">
        <f>"270009111"</f>
        <v>270009111</v>
      </c>
      <c r="B1718" t="str">
        <f>"EHPAD EPMS RUGLES"</f>
        <v>EHPAD EPMS RUGLES</v>
      </c>
      <c r="C1718" t="s">
        <v>69</v>
      </c>
    </row>
    <row r="1719" spans="1:3" x14ac:dyDescent="0.25">
      <c r="A1719" t="str">
        <f>"270009129"</f>
        <v>270009129</v>
      </c>
      <c r="B1719" t="str">
        <f>"EHPAD DE BRETEUIL"</f>
        <v>EHPAD DE BRETEUIL</v>
      </c>
      <c r="C1719" t="s">
        <v>69</v>
      </c>
    </row>
    <row r="1720" spans="1:3" x14ac:dyDescent="0.25">
      <c r="A1720" t="str">
        <f>"270009137"</f>
        <v>270009137</v>
      </c>
      <c r="B1720" t="str">
        <f>"RESIDENCE DES REFLETS D'ARGENT"</f>
        <v>RESIDENCE DES REFLETS D'ARGENT</v>
      </c>
      <c r="C1720" t="s">
        <v>69</v>
      </c>
    </row>
    <row r="1721" spans="1:3" x14ac:dyDescent="0.25">
      <c r="A1721" t="str">
        <f>"270009145"</f>
        <v>270009145</v>
      </c>
      <c r="B1721" t="str">
        <f>"EHPAD JULIEN BLIN - PONT DE L'ARCHE"</f>
        <v>EHPAD JULIEN BLIN - PONT DE L'ARCHE</v>
      </c>
      <c r="C1721" t="s">
        <v>69</v>
      </c>
    </row>
    <row r="1722" spans="1:3" x14ac:dyDescent="0.25">
      <c r="A1722" t="str">
        <f>"270009228"</f>
        <v>270009228</v>
      </c>
      <c r="B1722" t="str">
        <f>"EHPAD LES 4 SAISONS - CH PONT-AUDEMER"</f>
        <v>EHPAD LES 4 SAISONS - CH PONT-AUDEMER</v>
      </c>
      <c r="C1722" t="s">
        <v>69</v>
      </c>
    </row>
    <row r="1723" spans="1:3" x14ac:dyDescent="0.25">
      <c r="A1723" t="str">
        <f>"270009939"</f>
        <v>270009939</v>
      </c>
      <c r="B1723" t="str">
        <f>"EHPAD RESIDENCE JACQUES DAVIEL"</f>
        <v>EHPAD RESIDENCE JACQUES DAVIEL</v>
      </c>
      <c r="C1723" t="s">
        <v>69</v>
      </c>
    </row>
    <row r="1724" spans="1:3" x14ac:dyDescent="0.25">
      <c r="A1724" t="str">
        <f>"270010051"</f>
        <v>270010051</v>
      </c>
      <c r="B1724" t="str">
        <f>"EHPAD ORPEA LES RIVES D'OR LA COUTURE"</f>
        <v>EHPAD ORPEA LES RIVES D'OR LA COUTURE</v>
      </c>
      <c r="C1724" t="s">
        <v>69</v>
      </c>
    </row>
    <row r="1725" spans="1:3" x14ac:dyDescent="0.25">
      <c r="A1725" t="str">
        <f>"270010069"</f>
        <v>270010069</v>
      </c>
      <c r="B1725" t="str">
        <f>"EHPAD THEMIS LES RIVALIERES VAUDREUIL"</f>
        <v>EHPAD THEMIS LES RIVALIERES VAUDREUIL</v>
      </c>
      <c r="C1725" t="s">
        <v>69</v>
      </c>
    </row>
    <row r="1726" spans="1:3" x14ac:dyDescent="0.25">
      <c r="A1726" t="str">
        <f>"270010697"</f>
        <v>270010697</v>
      </c>
      <c r="B1726" t="str">
        <f>"EHPAD LE BOIS LA ROSE SAINT-ANDRE EURE"</f>
        <v>EHPAD LE BOIS LA ROSE SAINT-ANDRE EURE</v>
      </c>
      <c r="C1726" t="s">
        <v>69</v>
      </c>
    </row>
    <row r="1727" spans="1:3" x14ac:dyDescent="0.25">
      <c r="A1727" t="str">
        <f>"270010713"</f>
        <v>270010713</v>
      </c>
      <c r="B1727" t="str">
        <f>"EHPAD LE BOSGUERARD SA ORPEA"</f>
        <v>EHPAD LE BOSGUERARD SA ORPEA</v>
      </c>
      <c r="C1727" t="s">
        <v>69</v>
      </c>
    </row>
    <row r="1728" spans="1:3" x14ac:dyDescent="0.25">
      <c r="A1728" t="str">
        <f>"270011356"</f>
        <v>270011356</v>
      </c>
      <c r="B1728" t="str">
        <f>"EHPAD RESIDENCE LES FEUILLANS"</f>
        <v>EHPAD RESIDENCE LES FEUILLANS</v>
      </c>
      <c r="C1728" t="s">
        <v>69</v>
      </c>
    </row>
    <row r="1729" spans="1:3" x14ac:dyDescent="0.25">
      <c r="A1729" t="str">
        <f>"270012230"</f>
        <v>270012230</v>
      </c>
      <c r="B1729" t="str">
        <f>"EHPAD VILLA SAINT-MICHEL CHARLEVAL"</f>
        <v>EHPAD VILLA SAINT-MICHEL CHARLEVAL</v>
      </c>
      <c r="C1729" t="s">
        <v>69</v>
      </c>
    </row>
    <row r="1730" spans="1:3" x14ac:dyDescent="0.25">
      <c r="A1730" t="str">
        <f>"270012255"</f>
        <v>270012255</v>
      </c>
      <c r="B1730" t="str">
        <f>"KORIAN VILLE EN VERT"</f>
        <v>KORIAN VILLE EN VERT</v>
      </c>
      <c r="C1730" t="s">
        <v>69</v>
      </c>
    </row>
    <row r="1731" spans="1:3" x14ac:dyDescent="0.25">
      <c r="A1731" t="str">
        <f>"270012297"</f>
        <v>270012297</v>
      </c>
      <c r="B1731" t="str">
        <f>"EHPAD RESIDENCE ST-AUBIN LE VERTUEUX"</f>
        <v>EHPAD RESIDENCE ST-AUBIN LE VERTUEUX</v>
      </c>
      <c r="C1731" t="s">
        <v>69</v>
      </c>
    </row>
    <row r="1732" spans="1:3" x14ac:dyDescent="0.25">
      <c r="A1732" t="str">
        <f>"270012750"</f>
        <v>270012750</v>
      </c>
      <c r="B1732" t="str">
        <f>"EHPAD L'ASTERINA BEMECOURT"</f>
        <v>EHPAD L'ASTERINA BEMECOURT</v>
      </c>
      <c r="C1732" t="s">
        <v>69</v>
      </c>
    </row>
    <row r="1733" spans="1:3" x14ac:dyDescent="0.25">
      <c r="A1733" t="str">
        <f>"270012990"</f>
        <v>270012990</v>
      </c>
      <c r="B1733" t="str">
        <f>"EHPAD LE BREMIEN NOTRE DAME ILLIERS"</f>
        <v>EHPAD LE BREMIEN NOTRE DAME ILLIERS</v>
      </c>
      <c r="C1733" t="s">
        <v>69</v>
      </c>
    </row>
    <row r="1734" spans="1:3" x14ac:dyDescent="0.25">
      <c r="A1734" t="str">
        <f>"270013097"</f>
        <v>270013097</v>
      </c>
      <c r="B1734" t="str">
        <f>"EHPAD RESIDENCE LES JARDINS DE LYONS"</f>
        <v>EHPAD RESIDENCE LES JARDINS DE LYONS</v>
      </c>
      <c r="C1734" t="s">
        <v>69</v>
      </c>
    </row>
    <row r="1735" spans="1:3" x14ac:dyDescent="0.25">
      <c r="A1735" t="str">
        <f>"270013121"</f>
        <v>270013121</v>
      </c>
      <c r="B1735" t="str">
        <f>"EHPAD RESIDENCE LA HARPE-  EVREUX"</f>
        <v>EHPAD RESIDENCE LA HARPE-  EVREUX</v>
      </c>
      <c r="C1735" t="s">
        <v>69</v>
      </c>
    </row>
    <row r="1736" spans="1:3" x14ac:dyDescent="0.25">
      <c r="A1736" t="str">
        <f>"270013345"</f>
        <v>270013345</v>
      </c>
      <c r="B1736" t="str">
        <f>"EHPAD KORIAN NYMPHEAS BLEUS VERNON"</f>
        <v>EHPAD KORIAN NYMPHEAS BLEUS VERNON</v>
      </c>
      <c r="C1736" t="s">
        <v>69</v>
      </c>
    </row>
    <row r="1737" spans="1:3" x14ac:dyDescent="0.25">
      <c r="A1737" t="str">
        <f>"270013527"</f>
        <v>270013527</v>
      </c>
      <c r="B1737" t="str">
        <f>"EHPAD LE CERCLE DES AINES"</f>
        <v>EHPAD LE CERCLE DES AINES</v>
      </c>
      <c r="C1737" t="s">
        <v>69</v>
      </c>
    </row>
    <row r="1738" spans="1:3" x14ac:dyDescent="0.25">
      <c r="A1738" t="str">
        <f>"270013964"</f>
        <v>270013964</v>
      </c>
      <c r="B1738" t="str">
        <f>"EHPAD LA FILANDIERE - CCAS EVREUX"</f>
        <v>EHPAD LA FILANDIERE - CCAS EVREUX</v>
      </c>
      <c r="C1738" t="s">
        <v>69</v>
      </c>
    </row>
    <row r="1739" spans="1:3" x14ac:dyDescent="0.25">
      <c r="A1739" t="str">
        <f>"270014087"</f>
        <v>270014087</v>
      </c>
      <c r="B1739" t="str">
        <f>"EHPAD LES JARDINS DE NASSANDRES"</f>
        <v>EHPAD LES JARDINS DE NASSANDRES</v>
      </c>
      <c r="C1739" t="s">
        <v>69</v>
      </c>
    </row>
    <row r="1740" spans="1:3" x14ac:dyDescent="0.25">
      <c r="A1740" t="str">
        <f>"270017239"</f>
        <v>270017239</v>
      </c>
      <c r="B1740" t="str">
        <f>"EHPAD KORIAN JARDIN DE L'ANDELLE"</f>
        <v>EHPAD KORIAN JARDIN DE L'ANDELLE</v>
      </c>
      <c r="C1740" t="s">
        <v>69</v>
      </c>
    </row>
    <row r="1741" spans="1:3" x14ac:dyDescent="0.25">
      <c r="A1741" t="str">
        <f>"270018278"</f>
        <v>270018278</v>
      </c>
      <c r="B1741" t="str">
        <f>"EHPAD LA PROVIDENCE SA ODYSSENIOR"</f>
        <v>EHPAD LA PROVIDENCE SA ODYSSENIOR</v>
      </c>
      <c r="C1741" t="s">
        <v>69</v>
      </c>
    </row>
    <row r="1742" spans="1:3" x14ac:dyDescent="0.25">
      <c r="A1742" t="str">
        <f>"270023914"</f>
        <v>270023914</v>
      </c>
      <c r="B1742" t="str">
        <f>"EHPAD KORIAN LA RISLE DE RUGLES"</f>
        <v>EHPAD KORIAN LA RISLE DE RUGLES</v>
      </c>
      <c r="C1742" t="s">
        <v>69</v>
      </c>
    </row>
    <row r="1743" spans="1:3" x14ac:dyDescent="0.25">
      <c r="A1743" t="str">
        <f>"270024524"</f>
        <v>270024524</v>
      </c>
      <c r="B1743" t="str">
        <f>"EHPAD LES JARDINS D'IROISE TOSNY"</f>
        <v>EHPAD LES JARDINS D'IROISE TOSNY</v>
      </c>
      <c r="C1743" t="s">
        <v>69</v>
      </c>
    </row>
    <row r="1744" spans="1:3" x14ac:dyDescent="0.25">
      <c r="A1744" t="str">
        <f>"280000167"</f>
        <v>280000167</v>
      </c>
      <c r="B1744" t="str">
        <f>"EHPAD MESQUITE AUGUIN"</f>
        <v>EHPAD MESQUITE AUGUIN</v>
      </c>
      <c r="C1744" t="s">
        <v>63</v>
      </c>
    </row>
    <row r="1745" spans="1:3" x14ac:dyDescent="0.25">
      <c r="A1745" t="str">
        <f>"280000613"</f>
        <v>280000613</v>
      </c>
      <c r="B1745" t="str">
        <f>"EHPAD ALIGRE ET MARIE THERESE"</f>
        <v>EHPAD ALIGRE ET MARIE THERESE</v>
      </c>
      <c r="C1745" t="s">
        <v>63</v>
      </c>
    </row>
    <row r="1746" spans="1:3" x14ac:dyDescent="0.25">
      <c r="A1746" t="str">
        <f>"280000639"</f>
        <v>280000639</v>
      </c>
      <c r="B1746" t="str">
        <f>"EHPAD DE BREZOLLES"</f>
        <v>EHPAD DE BREZOLLES</v>
      </c>
      <c r="C1746" t="s">
        <v>63</v>
      </c>
    </row>
    <row r="1747" spans="1:3" x14ac:dyDescent="0.25">
      <c r="A1747" t="str">
        <f>"280000647"</f>
        <v>280000647</v>
      </c>
      <c r="B1747" t="str">
        <f>"EHPAD LE PARC DU CHATEAU D ABONDANT"</f>
        <v>EHPAD LE PARC DU CHATEAU D ABONDANT</v>
      </c>
      <c r="C1747" t="s">
        <v>63</v>
      </c>
    </row>
    <row r="1748" spans="1:3" x14ac:dyDescent="0.25">
      <c r="A1748" t="str">
        <f>"280000704"</f>
        <v>280000704</v>
      </c>
      <c r="B1748" t="str">
        <f>"EHPAD RESIDENCE PERIER"</f>
        <v>EHPAD RESIDENCE PERIER</v>
      </c>
      <c r="C1748" t="s">
        <v>63</v>
      </c>
    </row>
    <row r="1749" spans="1:3" x14ac:dyDescent="0.25">
      <c r="A1749" t="str">
        <f>"280002114"</f>
        <v>280002114</v>
      </c>
      <c r="B1749" t="str">
        <f>"EHPAD LA ROSE DES VENTS"</f>
        <v>EHPAD LA ROSE DES VENTS</v>
      </c>
      <c r="C1749" t="s">
        <v>63</v>
      </c>
    </row>
    <row r="1750" spans="1:3" x14ac:dyDescent="0.25">
      <c r="A1750" t="str">
        <f>"280002155"</f>
        <v>280002155</v>
      </c>
      <c r="B1750" t="str">
        <f>"EHPAD LES COTEAUX DE ST MATHIEU"</f>
        <v>EHPAD LES COTEAUX DE ST MATHIEU</v>
      </c>
      <c r="C1750" t="s">
        <v>63</v>
      </c>
    </row>
    <row r="1751" spans="1:3" x14ac:dyDescent="0.25">
      <c r="A1751" t="str">
        <f>"280002163"</f>
        <v>280002163</v>
      </c>
      <c r="B1751" t="str">
        <f>"EHPAD INTERCOMMUNAL PONTGOUIN"</f>
        <v>EHPAD INTERCOMMUNAL PONTGOUIN</v>
      </c>
      <c r="C1751" t="s">
        <v>63</v>
      </c>
    </row>
    <row r="1752" spans="1:3" x14ac:dyDescent="0.25">
      <c r="A1752" t="str">
        <f>"280004698"</f>
        <v>280004698</v>
      </c>
      <c r="B1752" t="str">
        <f>"EHPAD RESIDENCE BOIS DE L EPINAY"</f>
        <v>EHPAD RESIDENCE BOIS DE L EPINAY</v>
      </c>
      <c r="C1752" t="s">
        <v>63</v>
      </c>
    </row>
    <row r="1753" spans="1:3" x14ac:dyDescent="0.25">
      <c r="A1753" t="str">
        <f>"280005778"</f>
        <v>280005778</v>
      </c>
      <c r="B1753" t="str">
        <f>"EHPAD RESIDENCE DU BOIS DE LA ROCHE"</f>
        <v>EHPAD RESIDENCE DU BOIS DE LA ROCHE</v>
      </c>
      <c r="C1753" t="s">
        <v>63</v>
      </c>
    </row>
    <row r="1754" spans="1:3" x14ac:dyDescent="0.25">
      <c r="A1754" t="str">
        <f>"280006172"</f>
        <v>280006172</v>
      </c>
      <c r="B1754" t="str">
        <f>"EHPAD HOTEL DIEU"</f>
        <v>EHPAD HOTEL DIEU</v>
      </c>
      <c r="C1754" t="s">
        <v>63</v>
      </c>
    </row>
    <row r="1755" spans="1:3" x14ac:dyDescent="0.25">
      <c r="A1755" t="str">
        <f>"280006321"</f>
        <v>280006321</v>
      </c>
      <c r="B1755" t="str">
        <f>"EHPAD DE CHATEAUDUN"</f>
        <v>EHPAD DE CHATEAUDUN</v>
      </c>
      <c r="C1755" t="s">
        <v>63</v>
      </c>
    </row>
    <row r="1756" spans="1:3" x14ac:dyDescent="0.25">
      <c r="A1756" t="str">
        <f>"280008665"</f>
        <v>280008665</v>
      </c>
      <c r="B1756" t="str">
        <f>"PUV SAINT PAUL"</f>
        <v>PUV SAINT PAUL</v>
      </c>
      <c r="C1756" t="s">
        <v>63</v>
      </c>
    </row>
    <row r="1757" spans="1:3" x14ac:dyDescent="0.25">
      <c r="A1757" t="str">
        <f>"280500083"</f>
        <v>280500083</v>
      </c>
      <c r="B1757" t="str">
        <f>"EHPAD DE CHATEAUDUN"</f>
        <v>EHPAD DE CHATEAUDUN</v>
      </c>
      <c r="C1757" t="s">
        <v>63</v>
      </c>
    </row>
    <row r="1758" spans="1:3" x14ac:dyDescent="0.25">
      <c r="A1758" t="str">
        <f>"280500117"</f>
        <v>280500117</v>
      </c>
      <c r="B1758" t="str">
        <f>"EHPAD LE PRIEURE DREUX"</f>
        <v>EHPAD LE PRIEURE DREUX</v>
      </c>
      <c r="C1758" t="s">
        <v>63</v>
      </c>
    </row>
    <row r="1759" spans="1:3" x14ac:dyDescent="0.25">
      <c r="A1759" t="str">
        <f>"280500380"</f>
        <v>280500380</v>
      </c>
      <c r="B1759" t="str">
        <f>"EHPAD LES JARDINS DE CHARTRES"</f>
        <v>EHPAD LES JARDINS DE CHARTRES</v>
      </c>
      <c r="C1759" t="s">
        <v>63</v>
      </c>
    </row>
    <row r="1760" spans="1:3" x14ac:dyDescent="0.25">
      <c r="A1760" t="str">
        <f>"280500455"</f>
        <v>280500455</v>
      </c>
      <c r="B1760" t="str">
        <f>"EHPAD TEXIER GALLAS D ANET"</f>
        <v>EHPAD TEXIER GALLAS D ANET</v>
      </c>
      <c r="C1760" t="s">
        <v>63</v>
      </c>
    </row>
    <row r="1761" spans="1:3" x14ac:dyDescent="0.25">
      <c r="A1761" t="str">
        <f>"280500463"</f>
        <v>280500463</v>
      </c>
      <c r="B1761" t="str">
        <f>"EHPAD TEXIER GALLAS DE THIRON GARDAIS"</f>
        <v>EHPAD TEXIER GALLAS DE THIRON GARDAIS</v>
      </c>
      <c r="C1761" t="s">
        <v>63</v>
      </c>
    </row>
    <row r="1762" spans="1:3" x14ac:dyDescent="0.25">
      <c r="A1762" t="str">
        <f>"280500471"</f>
        <v>280500471</v>
      </c>
      <c r="B1762" t="str">
        <f>"EHPAD TEXIER GALLAS AUTHON DU P"</f>
        <v>EHPAD TEXIER GALLAS AUTHON DU P</v>
      </c>
      <c r="C1762" t="s">
        <v>63</v>
      </c>
    </row>
    <row r="1763" spans="1:3" x14ac:dyDescent="0.25">
      <c r="A1763" t="str">
        <f>"280500489"</f>
        <v>280500489</v>
      </c>
      <c r="B1763" t="str">
        <f>"EHPAD TEXIER GALLAS D AUNEAU"</f>
        <v>EHPAD TEXIER GALLAS D AUNEAU</v>
      </c>
      <c r="C1763" t="s">
        <v>63</v>
      </c>
    </row>
    <row r="1764" spans="1:3" x14ac:dyDescent="0.25">
      <c r="A1764" t="str">
        <f>"280500505"</f>
        <v>280500505</v>
      </c>
      <c r="B1764" t="str">
        <f>"EHPAD TEXIER GALLAS DE VOVES"</f>
        <v>EHPAD TEXIER GALLAS DE VOVES</v>
      </c>
      <c r="C1764" t="s">
        <v>63</v>
      </c>
    </row>
    <row r="1765" spans="1:3" x14ac:dyDescent="0.25">
      <c r="A1765" t="str">
        <f>"280500513"</f>
        <v>280500513</v>
      </c>
      <c r="B1765" t="str">
        <f>"EHPAD TEXIER GALLAS ORGERES EN BEAUCE"</f>
        <v>EHPAD TEXIER GALLAS ORGERES EN BEAUCE</v>
      </c>
      <c r="C1765" t="s">
        <v>63</v>
      </c>
    </row>
    <row r="1766" spans="1:3" x14ac:dyDescent="0.25">
      <c r="A1766" t="str">
        <f>"280503004"</f>
        <v>280503004</v>
      </c>
      <c r="B1766" t="str">
        <f>"EHPAD NOTRE DAME DE JOIE"</f>
        <v>EHPAD NOTRE DAME DE JOIE</v>
      </c>
      <c r="C1766" t="s">
        <v>63</v>
      </c>
    </row>
    <row r="1767" spans="1:3" x14ac:dyDescent="0.25">
      <c r="A1767" t="str">
        <f>"280503335"</f>
        <v>280503335</v>
      </c>
      <c r="B1767" t="str">
        <f>"EHPAD RESIDENCE ROBERT BIZARD"</f>
        <v>EHPAD RESIDENCE ROBERT BIZARD</v>
      </c>
      <c r="C1767" t="s">
        <v>63</v>
      </c>
    </row>
    <row r="1768" spans="1:3" x14ac:dyDescent="0.25">
      <c r="A1768" t="str">
        <f>"280503343"</f>
        <v>280503343</v>
      </c>
      <c r="B1768" t="str">
        <f>"EHPAD DE CHATEAUNEUF EN THYMERAIS"</f>
        <v>EHPAD DE CHATEAUNEUF EN THYMERAIS</v>
      </c>
      <c r="C1768" t="s">
        <v>63</v>
      </c>
    </row>
    <row r="1769" spans="1:3" x14ac:dyDescent="0.25">
      <c r="A1769" t="str">
        <f>"280503368"</f>
        <v>280503368</v>
      </c>
      <c r="B1769" t="str">
        <f>"EHPAD RESIDENCE JEANNE D ARC"</f>
        <v>EHPAD RESIDENCE JEANNE D ARC</v>
      </c>
      <c r="C1769" t="s">
        <v>63</v>
      </c>
    </row>
    <row r="1770" spans="1:3" x14ac:dyDescent="0.25">
      <c r="A1770" t="str">
        <f>"280503384"</f>
        <v>280503384</v>
      </c>
      <c r="B1770" t="str">
        <f>"EHPAD LES GENETS"</f>
        <v>EHPAD LES GENETS</v>
      </c>
      <c r="C1770" t="s">
        <v>63</v>
      </c>
    </row>
    <row r="1771" spans="1:3" x14ac:dyDescent="0.25">
      <c r="A1771" t="str">
        <f>"280503392"</f>
        <v>280503392</v>
      </c>
      <c r="B1771" t="str">
        <f>"EHPAD ARC EN CIEL"</f>
        <v>EHPAD ARC EN CIEL</v>
      </c>
      <c r="C1771" t="s">
        <v>63</v>
      </c>
    </row>
    <row r="1772" spans="1:3" x14ac:dyDescent="0.25">
      <c r="A1772" t="str">
        <f>"280503400"</f>
        <v>280503400</v>
      </c>
      <c r="B1772" t="str">
        <f>"EHPAD RESIDENCE LES ORELIES"</f>
        <v>EHPAD RESIDENCE LES ORELIES</v>
      </c>
      <c r="C1772" t="s">
        <v>63</v>
      </c>
    </row>
    <row r="1773" spans="1:3" x14ac:dyDescent="0.25">
      <c r="A1773" t="str">
        <f>"280503434"</f>
        <v>280503434</v>
      </c>
      <c r="B1773" t="str">
        <f>"EHPAD EDMOND MORCHOISNE"</f>
        <v>EHPAD EDMOND MORCHOISNE</v>
      </c>
      <c r="C1773" t="s">
        <v>63</v>
      </c>
    </row>
    <row r="1774" spans="1:3" x14ac:dyDescent="0.25">
      <c r="A1774" t="str">
        <f>"280503582"</f>
        <v>280503582</v>
      </c>
      <c r="B1774" t="str">
        <f>"EHPAD LA CHARMERAIE"</f>
        <v>EHPAD LA CHARMERAIE</v>
      </c>
      <c r="C1774" t="s">
        <v>63</v>
      </c>
    </row>
    <row r="1775" spans="1:3" x14ac:dyDescent="0.25">
      <c r="A1775" t="str">
        <f>"280503798"</f>
        <v>280503798</v>
      </c>
      <c r="B1775" t="str">
        <f>"EHPAD LES EAUX VIVES"</f>
        <v>EHPAD LES EAUX VIVES</v>
      </c>
      <c r="C1775" t="s">
        <v>63</v>
      </c>
    </row>
    <row r="1776" spans="1:3" x14ac:dyDescent="0.25">
      <c r="A1776" t="str">
        <f>"280504168"</f>
        <v>280504168</v>
      </c>
      <c r="B1776" t="str">
        <f>"EHPAD VAL DE L EURE"</f>
        <v>EHPAD VAL DE L EURE</v>
      </c>
      <c r="C1776" t="s">
        <v>63</v>
      </c>
    </row>
    <row r="1777" spans="1:3" x14ac:dyDescent="0.25">
      <c r="A1777" t="str">
        <f>"280504416"</f>
        <v>280504416</v>
      </c>
      <c r="B1777" t="str">
        <f>"EHPAD LES JARDINS D AUTOMNE"</f>
        <v>EHPAD LES JARDINS D AUTOMNE</v>
      </c>
      <c r="C1777" t="s">
        <v>63</v>
      </c>
    </row>
    <row r="1778" spans="1:3" x14ac:dyDescent="0.25">
      <c r="A1778" t="str">
        <f>"280504861"</f>
        <v>280504861</v>
      </c>
      <c r="B1778" t="str">
        <f>"EHPAD CHATEAU DU HAUT VENAY"</f>
        <v>EHPAD CHATEAU DU HAUT VENAY</v>
      </c>
      <c r="C1778" t="s">
        <v>63</v>
      </c>
    </row>
    <row r="1779" spans="1:3" x14ac:dyDescent="0.25">
      <c r="A1779" t="str">
        <f>"280504903"</f>
        <v>280504903</v>
      </c>
      <c r="B1779" t="str">
        <f>"EHPAD MADELEINE QUEMIN"</f>
        <v>EHPAD MADELEINE QUEMIN</v>
      </c>
      <c r="C1779" t="s">
        <v>63</v>
      </c>
    </row>
    <row r="1780" spans="1:3" x14ac:dyDescent="0.25">
      <c r="A1780" t="str">
        <f>"280504960"</f>
        <v>280504960</v>
      </c>
      <c r="B1780" t="str">
        <f>"EHPAD MARCEL GAUJARD"</f>
        <v>EHPAD MARCEL GAUJARD</v>
      </c>
      <c r="C1780" t="s">
        <v>63</v>
      </c>
    </row>
    <row r="1781" spans="1:3" x14ac:dyDescent="0.25">
      <c r="A1781" t="str">
        <f>"280504986"</f>
        <v>280504986</v>
      </c>
      <c r="B1781" t="str">
        <f>"EHPAD LES JARDINS D ARIANE"</f>
        <v>EHPAD LES JARDINS D ARIANE</v>
      </c>
      <c r="C1781" t="s">
        <v>63</v>
      </c>
    </row>
    <row r="1782" spans="1:3" x14ac:dyDescent="0.25">
      <c r="A1782" t="str">
        <f>"280505009"</f>
        <v>280505009</v>
      </c>
      <c r="B1782" t="str">
        <f>"EHPAD KORIAN LA ROSERAIE"</f>
        <v>EHPAD KORIAN LA ROSERAIE</v>
      </c>
      <c r="C1782" t="s">
        <v>63</v>
      </c>
    </row>
    <row r="1783" spans="1:3" x14ac:dyDescent="0.25">
      <c r="A1783" t="str">
        <f>"280505207"</f>
        <v>280505207</v>
      </c>
      <c r="B1783" t="str">
        <f>"EHPAD KORIAN VILLA EVORA"</f>
        <v>EHPAD KORIAN VILLA EVORA</v>
      </c>
      <c r="C1783" t="s">
        <v>63</v>
      </c>
    </row>
    <row r="1784" spans="1:3" x14ac:dyDescent="0.25">
      <c r="A1784" t="str">
        <f>"280505306"</f>
        <v>280505306</v>
      </c>
      <c r="B1784" t="str">
        <f>"EHPAD LES JARDINS D AUTOMNE"</f>
        <v>EHPAD LES JARDINS D AUTOMNE</v>
      </c>
      <c r="C1784" t="s">
        <v>63</v>
      </c>
    </row>
    <row r="1785" spans="1:3" x14ac:dyDescent="0.25">
      <c r="A1785" t="str">
        <f>"280505348"</f>
        <v>280505348</v>
      </c>
      <c r="B1785" t="str">
        <f>"EHPAD KORIAN LES TEMPS BLEUS"</f>
        <v>EHPAD KORIAN LES TEMPS BLEUS</v>
      </c>
      <c r="C1785" t="s">
        <v>63</v>
      </c>
    </row>
    <row r="1786" spans="1:3" x14ac:dyDescent="0.25">
      <c r="A1786" t="str">
        <f>"280505645"</f>
        <v>280505645</v>
      </c>
      <c r="B1786" t="str">
        <f>"EHPAD LES GLORIETTES"</f>
        <v>EHPAD LES GLORIETTES</v>
      </c>
      <c r="C1786" t="s">
        <v>63</v>
      </c>
    </row>
    <row r="1787" spans="1:3" x14ac:dyDescent="0.25">
      <c r="A1787" t="str">
        <f>"280505819"</f>
        <v>280505819</v>
      </c>
      <c r="B1787" t="str">
        <f>"EHPAD MARTIAL TAUGOURDEAU"</f>
        <v>EHPAD MARTIAL TAUGOURDEAU</v>
      </c>
      <c r="C1787" t="s">
        <v>63</v>
      </c>
    </row>
    <row r="1788" spans="1:3" x14ac:dyDescent="0.25">
      <c r="A1788" t="str">
        <f>"280506064"</f>
        <v>280506064</v>
      </c>
      <c r="B1788" t="str">
        <f>"EHPAD RESIDENCE AQUARELLE"</f>
        <v>EHPAD RESIDENCE AQUARELLE</v>
      </c>
      <c r="C1788" t="s">
        <v>63</v>
      </c>
    </row>
    <row r="1789" spans="1:3" x14ac:dyDescent="0.25">
      <c r="A1789" t="str">
        <f>"280506106"</f>
        <v>280506106</v>
      </c>
      <c r="B1789" t="str">
        <f>"EHPAD LE PARC SAINT CHARLES"</f>
        <v>EHPAD LE PARC SAINT CHARLES</v>
      </c>
      <c r="C1789" t="s">
        <v>63</v>
      </c>
    </row>
    <row r="1790" spans="1:3" x14ac:dyDescent="0.25">
      <c r="A1790" t="str">
        <f>"290000314"</f>
        <v>290000314</v>
      </c>
      <c r="B1790" t="str">
        <f>"RESIDENCE DE KERAVEL"</f>
        <v>RESIDENCE DE KERAVEL</v>
      </c>
      <c r="C1790" t="s">
        <v>65</v>
      </c>
    </row>
    <row r="1791" spans="1:3" x14ac:dyDescent="0.25">
      <c r="A1791" t="str">
        <f>"290000595"</f>
        <v>290000595</v>
      </c>
      <c r="B1791" t="str">
        <f>"EHPAD DE L'ADORATION"</f>
        <v>EHPAD DE L'ADORATION</v>
      </c>
      <c r="C1791" t="s">
        <v>65</v>
      </c>
    </row>
    <row r="1792" spans="1:3" x14ac:dyDescent="0.25">
      <c r="A1792" t="str">
        <f>"290000884"</f>
        <v>290000884</v>
      </c>
      <c r="B1792" t="str">
        <f>"MAISON RETRAITE SAINT-FRANCOIS"</f>
        <v>MAISON RETRAITE SAINT-FRANCOIS</v>
      </c>
      <c r="C1792" t="s">
        <v>65</v>
      </c>
    </row>
    <row r="1793" spans="1:3" x14ac:dyDescent="0.25">
      <c r="A1793" t="str">
        <f>"290000892"</f>
        <v>290000892</v>
      </c>
      <c r="B1793" t="str">
        <f>"EHPAD STV PLOUGASTEL DAOULAS"</f>
        <v>EHPAD STV PLOUGASTEL DAOULAS</v>
      </c>
      <c r="C1793" t="s">
        <v>65</v>
      </c>
    </row>
    <row r="1794" spans="1:3" x14ac:dyDescent="0.25">
      <c r="A1794" t="str">
        <f>"290002047"</f>
        <v>290002047</v>
      </c>
      <c r="B1794" t="str">
        <f>"EHPAD LA VALLEE DU GOYEN - AUDIERNE"</f>
        <v>EHPAD LA VALLEE DU GOYEN - AUDIERNE</v>
      </c>
      <c r="C1794" t="s">
        <v>65</v>
      </c>
    </row>
    <row r="1795" spans="1:3" x14ac:dyDescent="0.25">
      <c r="A1795" t="str">
        <f>"290002054"</f>
        <v>290002054</v>
      </c>
      <c r="B1795" t="str">
        <f>"EHPAD LES COLLINES BLEUES"</f>
        <v>EHPAD LES COLLINES BLEUES</v>
      </c>
      <c r="C1795" t="s">
        <v>65</v>
      </c>
    </row>
    <row r="1796" spans="1:3" x14ac:dyDescent="0.25">
      <c r="A1796" t="str">
        <f>"290002070"</f>
        <v>290002070</v>
      </c>
      <c r="B1796" t="str">
        <f>"EHPAD LES ABERS RESIDENCE PRESQU'ILE"</f>
        <v>EHPAD LES ABERS RESIDENCE PRESQU'ILE</v>
      </c>
      <c r="C1796" t="s">
        <v>65</v>
      </c>
    </row>
    <row r="1797" spans="1:3" x14ac:dyDescent="0.25">
      <c r="A1797" t="str">
        <f>"290002088"</f>
        <v>290002088</v>
      </c>
      <c r="B1797" t="str">
        <f>"RESIDENCE SAINT MICHEL"</f>
        <v>RESIDENCE SAINT MICHEL</v>
      </c>
      <c r="C1797" t="s">
        <v>65</v>
      </c>
    </row>
    <row r="1798" spans="1:3" x14ac:dyDescent="0.25">
      <c r="A1798" t="str">
        <f>"290002096"</f>
        <v>290002096</v>
      </c>
      <c r="B1798" t="str">
        <f>"EHPAD LES ABERS RESIDENCE DE KERMARIA"</f>
        <v>EHPAD LES ABERS RESIDENCE DE KERMARIA</v>
      </c>
      <c r="C1798" t="s">
        <v>65</v>
      </c>
    </row>
    <row r="1799" spans="1:3" x14ac:dyDescent="0.25">
      <c r="A1799" t="str">
        <f>"290002104"</f>
        <v>290002104</v>
      </c>
      <c r="B1799" t="str">
        <f>"EHPAD LES JARDINS DE LANDOUARDON"</f>
        <v>EHPAD LES JARDINS DE LANDOUARDON</v>
      </c>
      <c r="C1799" t="s">
        <v>65</v>
      </c>
    </row>
    <row r="1800" spans="1:3" x14ac:dyDescent="0.25">
      <c r="A1800" t="str">
        <f>"290002112"</f>
        <v>290002112</v>
      </c>
      <c r="B1800" t="str">
        <f>"EHPAD ALEXIS JULIEN"</f>
        <v>EHPAD ALEXIS JULIEN</v>
      </c>
      <c r="C1800" t="s">
        <v>65</v>
      </c>
    </row>
    <row r="1801" spans="1:3" x14ac:dyDescent="0.25">
      <c r="A1801" t="str">
        <f>"290002120"</f>
        <v>290002120</v>
      </c>
      <c r="B1801" t="str">
        <f>"EHPAD LA VALLEE DU GOYEN - PONT CROIX"</f>
        <v>EHPAD LA VALLEE DU GOYEN - PONT CROIX</v>
      </c>
      <c r="C1801" t="s">
        <v>65</v>
      </c>
    </row>
    <row r="1802" spans="1:3" x14ac:dyDescent="0.25">
      <c r="A1802" t="str">
        <f>"290002138"</f>
        <v>290002138</v>
      </c>
      <c r="B1802" t="str">
        <f>"EHPAD TY PORS MORO"</f>
        <v>EHPAD TY PORS MORO</v>
      </c>
      <c r="C1802" t="s">
        <v>65</v>
      </c>
    </row>
    <row r="1803" spans="1:3" x14ac:dyDescent="0.25">
      <c r="A1803" t="str">
        <f>"290002146"</f>
        <v>290002146</v>
      </c>
      <c r="B1803" t="str">
        <f>"EHPAD SAINT NICOLAS"</f>
        <v>EHPAD SAINT NICOLAS</v>
      </c>
      <c r="C1803" t="s">
        <v>65</v>
      </c>
    </row>
    <row r="1804" spans="1:3" x14ac:dyDescent="0.25">
      <c r="A1804" t="str">
        <f>"290002153"</f>
        <v>290002153</v>
      </c>
      <c r="B1804" t="str">
        <f>"EHPAD DE KERSAUDY"</f>
        <v>EHPAD DE KERSAUDY</v>
      </c>
      <c r="C1804" t="s">
        <v>65</v>
      </c>
    </row>
    <row r="1805" spans="1:3" x14ac:dyDescent="0.25">
      <c r="A1805" t="str">
        <f>"290002161"</f>
        <v>290002161</v>
      </c>
      <c r="B1805" t="str">
        <f>"EHPAD AU CHENE"</f>
        <v>EHPAD AU CHENE</v>
      </c>
      <c r="C1805" t="s">
        <v>65</v>
      </c>
    </row>
    <row r="1806" spans="1:3" x14ac:dyDescent="0.25">
      <c r="A1806" t="str">
        <f>"290002179"</f>
        <v>290002179</v>
      </c>
      <c r="B1806" t="str">
        <f>"EHPAD BEL AIR"</f>
        <v>EHPAD BEL AIR</v>
      </c>
      <c r="C1806" t="s">
        <v>65</v>
      </c>
    </row>
    <row r="1807" spans="1:3" x14ac:dyDescent="0.25">
      <c r="A1807" t="str">
        <f>"290002187"</f>
        <v>290002187</v>
      </c>
      <c r="B1807" t="str">
        <f>"EHPAD PIERRE GOENVIC"</f>
        <v>EHPAD PIERRE GOENVIC</v>
      </c>
      <c r="C1807" t="s">
        <v>65</v>
      </c>
    </row>
    <row r="1808" spans="1:3" x14ac:dyDescent="0.25">
      <c r="A1808" t="str">
        <f>"290002195"</f>
        <v>290002195</v>
      </c>
      <c r="B1808" t="str">
        <f>"EHPAD TY AN DUD COZ"</f>
        <v>EHPAD TY AN DUD COZ</v>
      </c>
      <c r="C1808" t="s">
        <v>65</v>
      </c>
    </row>
    <row r="1809" spans="1:3" x14ac:dyDescent="0.25">
      <c r="A1809" t="str">
        <f>"290002674"</f>
        <v>290002674</v>
      </c>
      <c r="B1809" t="str">
        <f>"EHPAD DE PLOUESCAT"</f>
        <v>EHPAD DE PLOUESCAT</v>
      </c>
      <c r="C1809" t="s">
        <v>65</v>
      </c>
    </row>
    <row r="1810" spans="1:3" x14ac:dyDescent="0.25">
      <c r="A1810" t="str">
        <f>"290002724"</f>
        <v>290002724</v>
      </c>
      <c r="B1810" t="str">
        <f>"EHPAD ST JOSEPH"</f>
        <v>EHPAD ST JOSEPH</v>
      </c>
      <c r="C1810" t="s">
        <v>65</v>
      </c>
    </row>
    <row r="1811" spans="1:3" x14ac:dyDescent="0.25">
      <c r="A1811" t="str">
        <f>"290002740"</f>
        <v>290002740</v>
      </c>
      <c r="B1811" t="str">
        <f>"EHPAD SAINTE BERNADETTE"</f>
        <v>EHPAD SAINTE BERNADETTE</v>
      </c>
      <c r="C1811" t="s">
        <v>65</v>
      </c>
    </row>
    <row r="1812" spans="1:3" x14ac:dyDescent="0.25">
      <c r="A1812" t="str">
        <f>"290002757"</f>
        <v>290002757</v>
      </c>
      <c r="B1812" t="str">
        <f>"EHPAD SAINT VINCENT LANNOUCHEN"</f>
        <v>EHPAD SAINT VINCENT LANNOUCHEN</v>
      </c>
      <c r="C1812" t="s">
        <v>65</v>
      </c>
    </row>
    <row r="1813" spans="1:3" x14ac:dyDescent="0.25">
      <c r="A1813" t="str">
        <f>"290002880"</f>
        <v>290002880</v>
      </c>
      <c r="B1813" t="str">
        <f>"EHPAD LA RETRAITE"</f>
        <v>EHPAD LA RETRAITE</v>
      </c>
      <c r="C1813" t="s">
        <v>65</v>
      </c>
    </row>
    <row r="1814" spans="1:3" x14ac:dyDescent="0.25">
      <c r="A1814" t="str">
        <f>"290002898"</f>
        <v>290002898</v>
      </c>
      <c r="B1814" t="str">
        <f>"EHPAD PRAT MARIA"</f>
        <v>EHPAD PRAT MARIA</v>
      </c>
      <c r="C1814" t="s">
        <v>65</v>
      </c>
    </row>
    <row r="1815" spans="1:3" x14ac:dyDescent="0.25">
      <c r="A1815" t="str">
        <f>"290002930"</f>
        <v>290002930</v>
      </c>
      <c r="B1815" t="str">
        <f>"RESIDENCE KERAMPIR"</f>
        <v>RESIDENCE KERAMPIR</v>
      </c>
      <c r="C1815" t="s">
        <v>65</v>
      </c>
    </row>
    <row r="1816" spans="1:3" x14ac:dyDescent="0.25">
      <c r="A1816" t="str">
        <f>"290003979"</f>
        <v>290003979</v>
      </c>
      <c r="B1816" t="str">
        <f>"GHBS EHPAD BOIS JOLY"</f>
        <v>GHBS EHPAD BOIS JOLY</v>
      </c>
      <c r="C1816" t="s">
        <v>65</v>
      </c>
    </row>
    <row r="1817" spans="1:3" x14ac:dyDescent="0.25">
      <c r="A1817" t="str">
        <f>"290003987"</f>
        <v>290003987</v>
      </c>
      <c r="B1817" t="str">
        <f>"GHBS EHPAD MOELAN SUR MER"</f>
        <v>GHBS EHPAD MOELAN SUR MER</v>
      </c>
      <c r="C1817" t="s">
        <v>65</v>
      </c>
    </row>
    <row r="1818" spans="1:3" x14ac:dyDescent="0.25">
      <c r="A1818" t="str">
        <f>"290004019"</f>
        <v>290004019</v>
      </c>
      <c r="B1818" t="str">
        <f>"EHPAD FERDINAND GRALL"</f>
        <v>EHPAD FERDINAND GRALL</v>
      </c>
      <c r="C1818" t="s">
        <v>65</v>
      </c>
    </row>
    <row r="1819" spans="1:3" x14ac:dyDescent="0.25">
      <c r="A1819" t="str">
        <f>"290004092"</f>
        <v>290004092</v>
      </c>
      <c r="B1819" t="str">
        <f>"EHPAD LA VALLEE CH LANMEUR"</f>
        <v>EHPAD LA VALLEE CH LANMEUR</v>
      </c>
      <c r="C1819" t="s">
        <v>65</v>
      </c>
    </row>
    <row r="1820" spans="1:3" x14ac:dyDescent="0.25">
      <c r="A1820" t="str">
        <f>"290004118"</f>
        <v>290004118</v>
      </c>
      <c r="B1820" t="str">
        <f>"RESIDENCE KERNATOUS ET LESCAO"</f>
        <v>RESIDENCE KERNATOUS ET LESCAO</v>
      </c>
      <c r="C1820" t="s">
        <v>65</v>
      </c>
    </row>
    <row r="1821" spans="1:3" x14ac:dyDescent="0.25">
      <c r="A1821" t="str">
        <f>"290004209"</f>
        <v>290004209</v>
      </c>
      <c r="B1821" t="str">
        <f>"EHPAD LES JARDINS DU CLOS"</f>
        <v>EHPAD LES JARDINS DU CLOS</v>
      </c>
      <c r="C1821" t="s">
        <v>65</v>
      </c>
    </row>
    <row r="1822" spans="1:3" x14ac:dyDescent="0.25">
      <c r="A1822" t="str">
        <f>"290004514"</f>
        <v>290004514</v>
      </c>
      <c r="B1822" t="str">
        <f>"EHPAD DE CONCARNEAU"</f>
        <v>EHPAD DE CONCARNEAU</v>
      </c>
      <c r="C1822" t="s">
        <v>65</v>
      </c>
    </row>
    <row r="1823" spans="1:3" x14ac:dyDescent="0.25">
      <c r="A1823" t="str">
        <f>"290004571"</f>
        <v>290004571</v>
      </c>
      <c r="B1823" t="str">
        <f>"EHPAD LES ABERS RESIDENCE DE LA COTE"</f>
        <v>EHPAD LES ABERS RESIDENCE DE LA COTE</v>
      </c>
      <c r="C1823" t="s">
        <v>65</v>
      </c>
    </row>
    <row r="1824" spans="1:3" x14ac:dyDescent="0.25">
      <c r="A1824" t="str">
        <f>"290004597"</f>
        <v>290004597</v>
      </c>
      <c r="B1824" t="str">
        <f>"EHPAD KER DIGEMER"</f>
        <v>EHPAD KER DIGEMER</v>
      </c>
      <c r="C1824" t="s">
        <v>65</v>
      </c>
    </row>
    <row r="1825" spans="1:3" x14ac:dyDescent="0.25">
      <c r="A1825" t="str">
        <f>"290004605"</f>
        <v>290004605</v>
      </c>
      <c r="B1825" t="str">
        <f>"EHPAD KERLEVENEZ"</f>
        <v>EHPAD KERLEVENEZ</v>
      </c>
      <c r="C1825" t="s">
        <v>65</v>
      </c>
    </row>
    <row r="1826" spans="1:3" x14ac:dyDescent="0.25">
      <c r="A1826" t="str">
        <f>"290004639"</f>
        <v>290004639</v>
      </c>
      <c r="B1826" t="str">
        <f>"EHPAD LE VERGER D'YVONNE"</f>
        <v>EHPAD LE VERGER D'YVONNE</v>
      </c>
      <c r="C1826" t="s">
        <v>65</v>
      </c>
    </row>
    <row r="1827" spans="1:3" x14ac:dyDescent="0.25">
      <c r="A1827" t="str">
        <f>"290004654"</f>
        <v>290004654</v>
      </c>
      <c r="B1827" t="str">
        <f>"EHPAD TI AVALOU"</f>
        <v>EHPAD TI AVALOU</v>
      </c>
      <c r="C1827" t="s">
        <v>65</v>
      </c>
    </row>
    <row r="1828" spans="1:3" x14ac:dyDescent="0.25">
      <c r="A1828" t="str">
        <f>"290004662"</f>
        <v>290004662</v>
      </c>
      <c r="B1828" t="str">
        <f>"EHPAD DU GUIC"</f>
        <v>EHPAD DU GUIC</v>
      </c>
      <c r="C1828" t="s">
        <v>65</v>
      </c>
    </row>
    <row r="1829" spans="1:3" x14ac:dyDescent="0.25">
      <c r="A1829" t="str">
        <f>"290004670"</f>
        <v>290004670</v>
      </c>
      <c r="B1829" t="str">
        <f>"EHPAD JACQUES BREL"</f>
        <v>EHPAD JACQUES BREL</v>
      </c>
      <c r="C1829" t="s">
        <v>65</v>
      </c>
    </row>
    <row r="1830" spans="1:3" x14ac:dyDescent="0.25">
      <c r="A1830" t="str">
        <f>"290004704"</f>
        <v>290004704</v>
      </c>
      <c r="B1830" t="str">
        <f>"EHPAD PRAT AN AOD"</f>
        <v>EHPAD PRAT AN AOD</v>
      </c>
      <c r="C1830" t="s">
        <v>65</v>
      </c>
    </row>
    <row r="1831" spans="1:3" x14ac:dyDescent="0.25">
      <c r="A1831" t="str">
        <f>"290004712"</f>
        <v>290004712</v>
      </c>
      <c r="B1831" t="str">
        <f>"EHPAD LA BOISSIERE"</f>
        <v>EHPAD LA BOISSIERE</v>
      </c>
      <c r="C1831" t="s">
        <v>65</v>
      </c>
    </row>
    <row r="1832" spans="1:3" x14ac:dyDescent="0.25">
      <c r="A1832" t="str">
        <f>"290004720"</f>
        <v>290004720</v>
      </c>
      <c r="B1832" t="str">
        <f>"EHPAD DU BRUG"</f>
        <v>EHPAD DU BRUG</v>
      </c>
      <c r="C1832" t="s">
        <v>65</v>
      </c>
    </row>
    <row r="1833" spans="1:3" x14ac:dyDescent="0.25">
      <c r="A1833" t="str">
        <f>"290004738"</f>
        <v>290004738</v>
      </c>
      <c r="B1833" t="str">
        <f>"EHPAD DU KREIZKER"</f>
        <v>EHPAD DU KREIZKER</v>
      </c>
      <c r="C1833" t="s">
        <v>65</v>
      </c>
    </row>
    <row r="1834" spans="1:3" x14ac:dyDescent="0.25">
      <c r="A1834" t="str">
        <f>"290004753"</f>
        <v>290004753</v>
      </c>
      <c r="B1834" t="str">
        <f>"EHPAD RESIDENCE DE LA FONTAINE"</f>
        <v>EHPAD RESIDENCE DE LA FONTAINE</v>
      </c>
      <c r="C1834" t="s">
        <v>65</v>
      </c>
    </row>
    <row r="1835" spans="1:3" x14ac:dyDescent="0.25">
      <c r="A1835" t="str">
        <f>"290004779"</f>
        <v>290004779</v>
      </c>
      <c r="B1835" t="str">
        <f>"EHPAD DU VAL D'ELORN"</f>
        <v>EHPAD DU VAL D'ELORN</v>
      </c>
      <c r="C1835" t="s">
        <v>65</v>
      </c>
    </row>
    <row r="1836" spans="1:3" x14ac:dyDescent="0.25">
      <c r="A1836" t="str">
        <f>"290004787"</f>
        <v>290004787</v>
      </c>
      <c r="B1836" t="str">
        <f>"RESIDENCE KER HEOL"</f>
        <v>RESIDENCE KER HEOL</v>
      </c>
      <c r="C1836" t="s">
        <v>65</v>
      </c>
    </row>
    <row r="1837" spans="1:3" x14ac:dyDescent="0.25">
      <c r="A1837" t="str">
        <f>"290004795"</f>
        <v>290004795</v>
      </c>
      <c r="B1837" t="str">
        <f>"EHPAD KER VAL"</f>
        <v>EHPAD KER VAL</v>
      </c>
      <c r="C1837" t="s">
        <v>65</v>
      </c>
    </row>
    <row r="1838" spans="1:3" x14ac:dyDescent="0.25">
      <c r="A1838" t="str">
        <f>"290004944"</f>
        <v>290004944</v>
      </c>
      <c r="B1838" t="str">
        <f>"EHPAD DU PAYS GLAZIK"</f>
        <v>EHPAD DU PAYS GLAZIK</v>
      </c>
      <c r="C1838" t="s">
        <v>65</v>
      </c>
    </row>
    <row r="1839" spans="1:3" x14ac:dyDescent="0.25">
      <c r="A1839" t="str">
        <f>"290005891"</f>
        <v>290005891</v>
      </c>
      <c r="B1839" t="str">
        <f>"EHPAD  DE KERLIZOU"</f>
        <v>EHPAD  DE KERLIZOU</v>
      </c>
      <c r="C1839" t="s">
        <v>65</v>
      </c>
    </row>
    <row r="1840" spans="1:3" x14ac:dyDescent="0.25">
      <c r="A1840" t="str">
        <f>"290005909"</f>
        <v>290005909</v>
      </c>
      <c r="B1840" t="str">
        <f>"EHPAD MESTIOUAL"</f>
        <v>EHPAD MESTIOUAL</v>
      </c>
      <c r="C1840" t="s">
        <v>65</v>
      </c>
    </row>
    <row r="1841" spans="1:3" x14ac:dyDescent="0.25">
      <c r="A1841" t="str">
        <f>"290005917"</f>
        <v>290005917</v>
      </c>
      <c r="B1841" t="str">
        <f>"EHPAD LES CAMELIAS"</f>
        <v>EHPAD LES CAMELIAS</v>
      </c>
      <c r="C1841" t="s">
        <v>65</v>
      </c>
    </row>
    <row r="1842" spans="1:3" x14ac:dyDescent="0.25">
      <c r="A1842" t="str">
        <f>"290006402"</f>
        <v>290006402</v>
      </c>
      <c r="B1842" t="str">
        <f>"EHPAD RESIDENCE VALLEE DE L'AULNE"</f>
        <v>EHPAD RESIDENCE VALLEE DE L'AULNE</v>
      </c>
      <c r="C1842" t="s">
        <v>65</v>
      </c>
    </row>
    <row r="1843" spans="1:3" x14ac:dyDescent="0.25">
      <c r="A1843" t="str">
        <f>"290006444"</f>
        <v>290006444</v>
      </c>
      <c r="B1843" t="str">
        <f>"EHPAD TI AR GARANTEZ"</f>
        <v>EHPAD TI AR GARANTEZ</v>
      </c>
      <c r="C1843" t="s">
        <v>65</v>
      </c>
    </row>
    <row r="1844" spans="1:3" x14ac:dyDescent="0.25">
      <c r="A1844" t="str">
        <f>"290006527"</f>
        <v>290006527</v>
      </c>
      <c r="B1844" t="str">
        <f>"RESIDENCE LES TROIS SOURCES"</f>
        <v>RESIDENCE LES TROIS SOURCES</v>
      </c>
      <c r="C1844" t="s">
        <v>65</v>
      </c>
    </row>
    <row r="1845" spans="1:3" x14ac:dyDescent="0.25">
      <c r="A1845" t="str">
        <f>"290007012"</f>
        <v>290007012</v>
      </c>
      <c r="B1845" t="str">
        <f>"EHPAD LE GRAND MELGORN"</f>
        <v>EHPAD LE GRAND MELGORN</v>
      </c>
      <c r="C1845" t="s">
        <v>65</v>
      </c>
    </row>
    <row r="1846" spans="1:3" x14ac:dyDescent="0.25">
      <c r="A1846" t="str">
        <f>"290007590"</f>
        <v>290007590</v>
      </c>
      <c r="B1846" t="str">
        <f>"RESIDENCE TY MAUDEZ"</f>
        <v>RESIDENCE TY MAUDEZ</v>
      </c>
      <c r="C1846" t="s">
        <v>65</v>
      </c>
    </row>
    <row r="1847" spans="1:3" x14ac:dyDescent="0.25">
      <c r="A1847" t="str">
        <f>"290007624"</f>
        <v>290007624</v>
      </c>
      <c r="B1847" t="str">
        <f>"EHPAD LE MISSILIEN"</f>
        <v>EHPAD LE MISSILIEN</v>
      </c>
      <c r="C1847" t="s">
        <v>65</v>
      </c>
    </row>
    <row r="1848" spans="1:3" x14ac:dyDescent="0.25">
      <c r="A1848" t="str">
        <f>"290007657"</f>
        <v>290007657</v>
      </c>
      <c r="B1848" t="str">
        <f>"EHPAD CH CROZON"</f>
        <v>EHPAD CH CROZON</v>
      </c>
      <c r="C1848" t="s">
        <v>65</v>
      </c>
    </row>
    <row r="1849" spans="1:3" x14ac:dyDescent="0.25">
      <c r="A1849" t="str">
        <f>"290007699"</f>
        <v>290007699</v>
      </c>
      <c r="B1849" t="str">
        <f>"EHPAD LE MANOIR DE KERAUDREN"</f>
        <v>EHPAD LE MANOIR DE KERAUDREN</v>
      </c>
      <c r="C1849" t="s">
        <v>65</v>
      </c>
    </row>
    <row r="1850" spans="1:3" x14ac:dyDescent="0.25">
      <c r="A1850" t="str">
        <f>"290008846"</f>
        <v>290008846</v>
      </c>
      <c r="B1850" t="str">
        <f>"EHPAD KER ASTEL"</f>
        <v>EHPAD KER ASTEL</v>
      </c>
      <c r="C1850" t="s">
        <v>65</v>
      </c>
    </row>
    <row r="1851" spans="1:3" x14ac:dyDescent="0.25">
      <c r="A1851" t="str">
        <f>"290008861"</f>
        <v>290008861</v>
      </c>
      <c r="B1851" t="str">
        <f>"RESIDENCE DELCOURT PONCHELET"</f>
        <v>RESIDENCE DELCOURT PONCHELET</v>
      </c>
      <c r="C1851" t="s">
        <v>65</v>
      </c>
    </row>
    <row r="1852" spans="1:3" x14ac:dyDescent="0.25">
      <c r="A1852" t="str">
        <f>"290009224"</f>
        <v>290009224</v>
      </c>
      <c r="B1852" t="str">
        <f>"EHPAD BELIZAL CH DE MORLAIX"</f>
        <v>EHPAD BELIZAL CH DE MORLAIX</v>
      </c>
      <c r="C1852" t="s">
        <v>65</v>
      </c>
    </row>
    <row r="1853" spans="1:3" x14ac:dyDescent="0.25">
      <c r="A1853" t="str">
        <f>"290009935"</f>
        <v>290009935</v>
      </c>
      <c r="B1853" t="str">
        <f>"EHPAD MENEZ-KERGOFF"</f>
        <v>EHPAD MENEZ-KERGOFF</v>
      </c>
      <c r="C1853" t="s">
        <v>65</v>
      </c>
    </row>
    <row r="1854" spans="1:3" x14ac:dyDescent="0.25">
      <c r="A1854" t="str">
        <f>"290010461"</f>
        <v>290010461</v>
      </c>
      <c r="B1854" t="str">
        <f>"EHPAD DE KERAMPERE"</f>
        <v>EHPAD DE KERAMPERE</v>
      </c>
      <c r="C1854" t="s">
        <v>65</v>
      </c>
    </row>
    <row r="1855" spans="1:3" x14ac:dyDescent="0.25">
      <c r="A1855" t="str">
        <f>"290010487"</f>
        <v>290010487</v>
      </c>
      <c r="B1855" t="str">
        <f>"EHPAD DES GENETS"</f>
        <v>EHPAD DES GENETS</v>
      </c>
      <c r="C1855" t="s">
        <v>65</v>
      </c>
    </row>
    <row r="1856" spans="1:3" x14ac:dyDescent="0.25">
      <c r="A1856" t="str">
        <f>"290010503"</f>
        <v>290010503</v>
      </c>
      <c r="B1856" t="str">
        <f>"EHPAD KER GWENN"</f>
        <v>EHPAD KER GWENN</v>
      </c>
      <c r="C1856" t="s">
        <v>65</v>
      </c>
    </row>
    <row r="1857" spans="1:3" x14ac:dyDescent="0.25">
      <c r="A1857" t="str">
        <f>"290017201"</f>
        <v>290017201</v>
      </c>
      <c r="B1857" t="str">
        <f>"EHPAD LOUISE LE ROUX"</f>
        <v>EHPAD LOUISE LE ROUX</v>
      </c>
      <c r="C1857" t="s">
        <v>65</v>
      </c>
    </row>
    <row r="1858" spans="1:3" x14ac:dyDescent="0.25">
      <c r="A1858" t="str">
        <f>"290017961"</f>
        <v>290017961</v>
      </c>
      <c r="B1858" t="str">
        <f>"RESIDENCE MONT-LEROUX"</f>
        <v>RESIDENCE MONT-LEROUX</v>
      </c>
      <c r="C1858" t="s">
        <v>65</v>
      </c>
    </row>
    <row r="1859" spans="1:3" x14ac:dyDescent="0.25">
      <c r="A1859" t="str">
        <f>"290019322"</f>
        <v>290019322</v>
      </c>
      <c r="B1859" t="str">
        <f>"EHPAD KER BLEUNIOU"</f>
        <v>EHPAD KER BLEUNIOU</v>
      </c>
      <c r="C1859" t="s">
        <v>65</v>
      </c>
    </row>
    <row r="1860" spans="1:3" x14ac:dyDescent="0.25">
      <c r="A1860" t="str">
        <f>"290019793"</f>
        <v>290019793</v>
      </c>
      <c r="B1860" t="str">
        <f>"EHPAD DE KERALLAN"</f>
        <v>EHPAD DE KERALLAN</v>
      </c>
      <c r="C1860" t="s">
        <v>65</v>
      </c>
    </row>
    <row r="1861" spans="1:3" x14ac:dyDescent="0.25">
      <c r="A1861" t="str">
        <f>"290019819"</f>
        <v>290019819</v>
      </c>
      <c r="B1861" t="str">
        <f>"EHPAD THERESE RONDEAU"</f>
        <v>EHPAD THERESE RONDEAU</v>
      </c>
      <c r="C1861" t="s">
        <v>65</v>
      </c>
    </row>
    <row r="1862" spans="1:3" x14ac:dyDescent="0.25">
      <c r="A1862" t="str">
        <f>"290019850"</f>
        <v>290019850</v>
      </c>
      <c r="B1862" t="str">
        <f>"EHPAD DE PENANROS"</f>
        <v>EHPAD DE PENANROS</v>
      </c>
      <c r="C1862" t="s">
        <v>65</v>
      </c>
    </row>
    <row r="1863" spans="1:3" x14ac:dyDescent="0.25">
      <c r="A1863" t="str">
        <f>"290019876"</f>
        <v>290019876</v>
      </c>
      <c r="B1863" t="str">
        <f>"EHPAD LES FONTAINES"</f>
        <v>EHPAD LES FONTAINES</v>
      </c>
      <c r="C1863" t="s">
        <v>65</v>
      </c>
    </row>
    <row r="1864" spans="1:3" x14ac:dyDescent="0.25">
      <c r="A1864" t="str">
        <f>"290019918"</f>
        <v>290019918</v>
      </c>
      <c r="B1864" t="str">
        <f>"EHPAD KERBORC'HIS"</f>
        <v>EHPAD KERBORC'HIS</v>
      </c>
      <c r="C1864" t="s">
        <v>65</v>
      </c>
    </row>
    <row r="1865" spans="1:3" x14ac:dyDescent="0.25">
      <c r="A1865" t="str">
        <f>"290019942"</f>
        <v>290019942</v>
      </c>
      <c r="B1865" t="str">
        <f>"EHPAD BRANDA"</f>
        <v>EHPAD BRANDA</v>
      </c>
      <c r="C1865" t="s">
        <v>65</v>
      </c>
    </row>
    <row r="1866" spans="1:3" x14ac:dyDescent="0.25">
      <c r="A1866" t="str">
        <f>"290020163"</f>
        <v>290020163</v>
      </c>
      <c r="B1866" t="str">
        <f>"RESIDENCE SAINT ROCH"</f>
        <v>RESIDENCE SAINT ROCH</v>
      </c>
      <c r="C1866" t="s">
        <v>65</v>
      </c>
    </row>
    <row r="1867" spans="1:3" x14ac:dyDescent="0.25">
      <c r="A1867" t="str">
        <f>"290020312"</f>
        <v>290020312</v>
      </c>
      <c r="B1867" t="str">
        <f>"EHPAD YANN DARGENT"</f>
        <v>EHPAD YANN DARGENT</v>
      </c>
      <c r="C1867" t="s">
        <v>65</v>
      </c>
    </row>
    <row r="1868" spans="1:3" x14ac:dyDescent="0.25">
      <c r="A1868" t="str">
        <f>"290020346"</f>
        <v>290020346</v>
      </c>
      <c r="B1868" t="str">
        <f>"EHPAD PARC AN ID"</f>
        <v>EHPAD PARC AN ID</v>
      </c>
      <c r="C1868" t="s">
        <v>65</v>
      </c>
    </row>
    <row r="1869" spans="1:3" x14ac:dyDescent="0.25">
      <c r="A1869" t="str">
        <f>"290020510"</f>
        <v>290020510</v>
      </c>
      <c r="B1869" t="str">
        <f>"EHPAD DU PAYS DARDOUP"</f>
        <v>EHPAD DU PAYS DARDOUP</v>
      </c>
      <c r="C1869" t="s">
        <v>65</v>
      </c>
    </row>
    <row r="1870" spans="1:3" x14ac:dyDescent="0.25">
      <c r="A1870" t="str">
        <f>"290020536"</f>
        <v>290020536</v>
      </c>
      <c r="B1870" t="str">
        <f>"EHPAD LE STREAT HIR"</f>
        <v>EHPAD LE STREAT HIR</v>
      </c>
      <c r="C1870" t="s">
        <v>65</v>
      </c>
    </row>
    <row r="1871" spans="1:3" x14ac:dyDescent="0.25">
      <c r="A1871" t="str">
        <f>"290020551"</f>
        <v>290020551</v>
      </c>
      <c r="B1871" t="str">
        <f>"EHPAD RESIDENCE MANON"</f>
        <v>EHPAD RESIDENCE MANON</v>
      </c>
      <c r="C1871" t="s">
        <v>65</v>
      </c>
    </row>
    <row r="1872" spans="1:3" x14ac:dyDescent="0.25">
      <c r="A1872" t="str">
        <f>"290020569"</f>
        <v>290020569</v>
      </c>
      <c r="B1872" t="str">
        <f>"EHPAD LES MOUETTES"</f>
        <v>EHPAD LES MOUETTES</v>
      </c>
      <c r="C1872" t="s">
        <v>65</v>
      </c>
    </row>
    <row r="1873" spans="1:3" x14ac:dyDescent="0.25">
      <c r="A1873" t="str">
        <f>"290020601"</f>
        <v>290020601</v>
      </c>
      <c r="B1873" t="str">
        <f>"EHPAD KER LENN"</f>
        <v>EHPAD KER LENN</v>
      </c>
      <c r="C1873" t="s">
        <v>65</v>
      </c>
    </row>
    <row r="1874" spans="1:3" x14ac:dyDescent="0.25">
      <c r="A1874" t="str">
        <f>"290020619"</f>
        <v>290020619</v>
      </c>
      <c r="B1874" t="str">
        <f>"RESIDENCE TY GWENN"</f>
        <v>RESIDENCE TY GWENN</v>
      </c>
      <c r="C1874" t="s">
        <v>65</v>
      </c>
    </row>
    <row r="1875" spans="1:3" x14ac:dyDescent="0.25">
      <c r="A1875" t="str">
        <f>"290020627"</f>
        <v>290020627</v>
      </c>
      <c r="B1875" t="str">
        <f>"EHPAD PEN ALLE"</f>
        <v>EHPAD PEN ALLE</v>
      </c>
      <c r="C1875" t="s">
        <v>65</v>
      </c>
    </row>
    <row r="1876" spans="1:3" x14ac:dyDescent="0.25">
      <c r="A1876" t="str">
        <f>"290020957"</f>
        <v>290020957</v>
      </c>
      <c r="B1876" t="str">
        <f>"RESIDENCE DU SOLEIL LEVANT"</f>
        <v>RESIDENCE DU SOLEIL LEVANT</v>
      </c>
      <c r="C1876" t="s">
        <v>65</v>
      </c>
    </row>
    <row r="1877" spans="1:3" x14ac:dyDescent="0.25">
      <c r="A1877" t="str">
        <f>"290021013"</f>
        <v>290021013</v>
      </c>
      <c r="B1877" t="str">
        <f>"EHPAD GEORGES BRASSENS"</f>
        <v>EHPAD GEORGES BRASSENS</v>
      </c>
      <c r="C1877" t="s">
        <v>65</v>
      </c>
    </row>
    <row r="1878" spans="1:3" x14ac:dyDescent="0.25">
      <c r="A1878" t="str">
        <f>"290021104"</f>
        <v>290021104</v>
      </c>
      <c r="B1878" t="str">
        <f>"EHPAD KER AN DERO"</f>
        <v>EHPAD KER AN DERO</v>
      </c>
      <c r="C1878" t="s">
        <v>65</v>
      </c>
    </row>
    <row r="1879" spans="1:3" x14ac:dyDescent="0.25">
      <c r="A1879" t="str">
        <f>"290021187"</f>
        <v>290021187</v>
      </c>
      <c r="B1879" t="str">
        <f>"RESIDENCE TI AR C'HOAD"</f>
        <v>RESIDENCE TI AR C'HOAD</v>
      </c>
      <c r="C1879" t="s">
        <v>65</v>
      </c>
    </row>
    <row r="1880" spans="1:3" x14ac:dyDescent="0.25">
      <c r="A1880" t="str">
        <f>"290021294"</f>
        <v>290021294</v>
      </c>
      <c r="B1880" t="str">
        <f>"EHPAD TY PEN AR BED"</f>
        <v>EHPAD TY PEN AR BED</v>
      </c>
      <c r="C1880" t="s">
        <v>65</v>
      </c>
    </row>
    <row r="1881" spans="1:3" x14ac:dyDescent="0.25">
      <c r="A1881" t="str">
        <f>"290021427"</f>
        <v>290021427</v>
      </c>
      <c r="B1881" t="str">
        <f>"EHPAD TY AMZER VAD"</f>
        <v>EHPAD TY AMZER VAD</v>
      </c>
      <c r="C1881" t="s">
        <v>65</v>
      </c>
    </row>
    <row r="1882" spans="1:3" x14ac:dyDescent="0.25">
      <c r="A1882" t="str">
        <f>"290021526"</f>
        <v>290021526</v>
      </c>
      <c r="B1882" t="str">
        <f>"EHPAD DU PAYS DE DAOULAS"</f>
        <v>EHPAD DU PAYS DE DAOULAS</v>
      </c>
      <c r="C1882" t="s">
        <v>65</v>
      </c>
    </row>
    <row r="1883" spans="1:3" x14ac:dyDescent="0.25">
      <c r="A1883" t="str">
        <f>"290023415"</f>
        <v>290023415</v>
      </c>
      <c r="B1883" t="str">
        <f>"EHPAD TI LANN DU PORZAY"</f>
        <v>EHPAD TI LANN DU PORZAY</v>
      </c>
      <c r="C1883" t="s">
        <v>65</v>
      </c>
    </row>
    <row r="1884" spans="1:3" x14ac:dyDescent="0.25">
      <c r="A1884" t="str">
        <f>"290023449"</f>
        <v>290023449</v>
      </c>
      <c r="B1884" t="str">
        <f>"EHPAD LA SOURCE"</f>
        <v>EHPAD LA SOURCE</v>
      </c>
      <c r="C1884" t="s">
        <v>65</v>
      </c>
    </row>
    <row r="1885" spans="1:3" x14ac:dyDescent="0.25">
      <c r="A1885" t="str">
        <f>"290023456"</f>
        <v>290023456</v>
      </c>
      <c r="B1885" t="str">
        <f>"EHPAD LES QUATRE MOULINS"</f>
        <v>EHPAD LES QUATRE MOULINS</v>
      </c>
      <c r="C1885" t="s">
        <v>65</v>
      </c>
    </row>
    <row r="1886" spans="1:3" x14ac:dyDescent="0.25">
      <c r="A1886" t="str">
        <f>"290023571"</f>
        <v>290023571</v>
      </c>
      <c r="B1886" t="str">
        <f>"EHPAD BRUG EUSA"</f>
        <v>EHPAD BRUG EUSA</v>
      </c>
      <c r="C1886" t="s">
        <v>65</v>
      </c>
    </row>
    <row r="1887" spans="1:3" x14ac:dyDescent="0.25">
      <c r="A1887" t="str">
        <f>"290023753"</f>
        <v>290023753</v>
      </c>
      <c r="B1887" t="str">
        <f>"EHPAD FLORA TRISTAN"</f>
        <v>EHPAD FLORA TRISTAN</v>
      </c>
      <c r="C1887" t="s">
        <v>65</v>
      </c>
    </row>
    <row r="1888" spans="1:3" x14ac:dyDescent="0.25">
      <c r="A1888" t="str">
        <f>"290024959"</f>
        <v>290024959</v>
      </c>
      <c r="B1888" t="str">
        <f>"EHPAD LE PENTY"</f>
        <v>EHPAD LE PENTY</v>
      </c>
      <c r="C1888" t="s">
        <v>65</v>
      </c>
    </row>
    <row r="1889" spans="1:3" x14ac:dyDescent="0.25">
      <c r="A1889" t="str">
        <f>"290025352"</f>
        <v>290025352</v>
      </c>
      <c r="B1889" t="str">
        <f>"RESIDENCE KER RADENNEG"</f>
        <v>RESIDENCE KER RADENNEG</v>
      </c>
      <c r="C1889" t="s">
        <v>65</v>
      </c>
    </row>
    <row r="1890" spans="1:3" x14ac:dyDescent="0.25">
      <c r="A1890" t="str">
        <f>"290025360"</f>
        <v>290025360</v>
      </c>
      <c r="B1890" t="str">
        <f>"RESIDENCE TY GLAZIK"</f>
        <v>RESIDENCE TY GLAZIK</v>
      </c>
      <c r="C1890" t="s">
        <v>65</v>
      </c>
    </row>
    <row r="1891" spans="1:3" x14ac:dyDescent="0.25">
      <c r="A1891" t="str">
        <f>"290025386"</f>
        <v>290025386</v>
      </c>
      <c r="B1891" t="str">
        <f>"RESIDENCE TY CREAC'H"</f>
        <v>RESIDENCE TY CREAC'H</v>
      </c>
      <c r="C1891" t="s">
        <v>65</v>
      </c>
    </row>
    <row r="1892" spans="1:3" x14ac:dyDescent="0.25">
      <c r="A1892" t="str">
        <f>"290025402"</f>
        <v>290025402</v>
      </c>
      <c r="B1892" t="str">
        <f>"EHPAD MER IROISE"</f>
        <v>EHPAD MER IROISE</v>
      </c>
      <c r="C1892" t="s">
        <v>65</v>
      </c>
    </row>
    <row r="1893" spans="1:3" x14ac:dyDescent="0.25">
      <c r="A1893" t="str">
        <f>"290025444"</f>
        <v>290025444</v>
      </c>
      <c r="B1893" t="str">
        <f>"EHPAD ANTOINE SALAUN"</f>
        <v>EHPAD ANTOINE SALAUN</v>
      </c>
      <c r="C1893" t="s">
        <v>65</v>
      </c>
    </row>
    <row r="1894" spans="1:3" x14ac:dyDescent="0.25">
      <c r="A1894" t="str">
        <f>"290027259"</f>
        <v>290027259</v>
      </c>
      <c r="B1894" t="str">
        <f>"RESIDENCE KERELYS"</f>
        <v>RESIDENCE KERELYS</v>
      </c>
      <c r="C1894" t="s">
        <v>65</v>
      </c>
    </row>
    <row r="1895" spans="1:3" x14ac:dyDescent="0.25">
      <c r="A1895" t="str">
        <f>"290028448"</f>
        <v>290028448</v>
      </c>
      <c r="B1895" t="str">
        <f>"CENTRE SPECIALISE KUZH HEOL"</f>
        <v>CENTRE SPECIALISE KUZH HEOL</v>
      </c>
      <c r="C1895" t="s">
        <v>65</v>
      </c>
    </row>
    <row r="1896" spans="1:3" x14ac:dyDescent="0.25">
      <c r="A1896" t="str">
        <f>"290028638"</f>
        <v>290028638</v>
      </c>
      <c r="B1896" t="str">
        <f>"RESIDENCE SAINT JACQUES"</f>
        <v>RESIDENCE SAINT JACQUES</v>
      </c>
      <c r="C1896" t="s">
        <v>65</v>
      </c>
    </row>
    <row r="1897" spans="1:3" x14ac:dyDescent="0.25">
      <c r="A1897" t="str">
        <f>"290030154"</f>
        <v>290030154</v>
      </c>
      <c r="B1897" t="str">
        <f>"EHPAD LES MAGNOLIAS"</f>
        <v>EHPAD LES MAGNOLIAS</v>
      </c>
      <c r="C1897" t="s">
        <v>65</v>
      </c>
    </row>
    <row r="1898" spans="1:3" x14ac:dyDescent="0.25">
      <c r="A1898" t="str">
        <f>"290030634"</f>
        <v>290030634</v>
      </c>
      <c r="B1898" t="str">
        <f>"EHPAD DU STEIR"</f>
        <v>EHPAD DU STEIR</v>
      </c>
      <c r="C1898" t="s">
        <v>65</v>
      </c>
    </row>
    <row r="1899" spans="1:3" x14ac:dyDescent="0.25">
      <c r="A1899" t="str">
        <f>"290031368"</f>
        <v>290031368</v>
      </c>
      <c r="B1899" t="str">
        <f>"EHPAD LES PETITS PAS"</f>
        <v>EHPAD LES PETITS PAS</v>
      </c>
      <c r="C1899" t="s">
        <v>65</v>
      </c>
    </row>
    <row r="1900" spans="1:3" x14ac:dyDescent="0.25">
      <c r="A1900" t="str">
        <f>"290031814"</f>
        <v>290031814</v>
      </c>
      <c r="B1900" t="str">
        <f>"EHPAD RESIDENCE MUTUALISTE DU PONANT"</f>
        <v>EHPAD RESIDENCE MUTUALISTE DU PONANT</v>
      </c>
      <c r="C1900" t="s">
        <v>65</v>
      </c>
    </row>
    <row r="1901" spans="1:3" x14ac:dyDescent="0.25">
      <c r="A1901" t="str">
        <f>"290031822"</f>
        <v>290031822</v>
      </c>
      <c r="B1901" t="str">
        <f>"EHPAD  KERLAOUENA"</f>
        <v>EHPAD  KERLAOUENA</v>
      </c>
      <c r="C1901" t="s">
        <v>65</v>
      </c>
    </row>
    <row r="1902" spans="1:3" x14ac:dyDescent="0.25">
      <c r="A1902" t="str">
        <f>"290031996"</f>
        <v>290031996</v>
      </c>
      <c r="B1902" t="str">
        <f>"RESIDENCE AOLYS"</f>
        <v>RESIDENCE AOLYS</v>
      </c>
      <c r="C1902" t="s">
        <v>65</v>
      </c>
    </row>
    <row r="1903" spans="1:3" x14ac:dyDescent="0.25">
      <c r="A1903" t="str">
        <f>"290032002"</f>
        <v>290032002</v>
      </c>
      <c r="B1903" t="str">
        <f>"RESIDENCE KERELYS"</f>
        <v>RESIDENCE KERELYS</v>
      </c>
      <c r="C1903" t="s">
        <v>65</v>
      </c>
    </row>
    <row r="1904" spans="1:3" x14ac:dyDescent="0.25">
      <c r="A1904" t="str">
        <f>"290032036"</f>
        <v>290032036</v>
      </c>
      <c r="B1904" t="str">
        <f>"EHPAD LA TRINITE"</f>
        <v>EHPAD LA TRINITE</v>
      </c>
      <c r="C1904" t="s">
        <v>65</v>
      </c>
    </row>
    <row r="1905" spans="1:3" x14ac:dyDescent="0.25">
      <c r="A1905" t="str">
        <f>"290032275"</f>
        <v>290032275</v>
      </c>
      <c r="B1905" t="str">
        <f>"RESIDENCE KER ANNA"</f>
        <v>RESIDENCE KER ANNA</v>
      </c>
      <c r="C1905" t="s">
        <v>65</v>
      </c>
    </row>
    <row r="1906" spans="1:3" x14ac:dyDescent="0.25">
      <c r="A1906" t="str">
        <f>"290032283"</f>
        <v>290032283</v>
      </c>
      <c r="B1906" t="str">
        <f>"CENTRE RENE FORTIN"</f>
        <v>CENTRE RENE FORTIN</v>
      </c>
      <c r="C1906" t="s">
        <v>65</v>
      </c>
    </row>
    <row r="1907" spans="1:3" x14ac:dyDescent="0.25">
      <c r="A1907" t="str">
        <f>"290032689"</f>
        <v>290032689</v>
      </c>
      <c r="B1907" t="str">
        <f>"EHPAD STV DE L'HOTEL DIEU"</f>
        <v>EHPAD STV DE L'HOTEL DIEU</v>
      </c>
      <c r="C1907" t="s">
        <v>65</v>
      </c>
    </row>
    <row r="1908" spans="1:3" x14ac:dyDescent="0.25">
      <c r="A1908" t="str">
        <f>"290033240"</f>
        <v>290033240</v>
      </c>
      <c r="B1908" t="str">
        <f>"EHPAD LES BRUYERES"</f>
        <v>EHPAD LES BRUYERES</v>
      </c>
      <c r="C1908" t="s">
        <v>65</v>
      </c>
    </row>
    <row r="1909" spans="1:3" x14ac:dyDescent="0.25">
      <c r="A1909" t="str">
        <f>"290033661"</f>
        <v>290033661</v>
      </c>
      <c r="B1909" t="str">
        <f>"EHPAD CH MORLAIX SITE DE PLOUGONVEN"</f>
        <v>EHPAD CH MORLAIX SITE DE PLOUGONVEN</v>
      </c>
      <c r="C1909" t="s">
        <v>65</v>
      </c>
    </row>
    <row r="1910" spans="1:3" x14ac:dyDescent="0.25">
      <c r="A1910" t="str">
        <f>"290034552"</f>
        <v>290034552</v>
      </c>
      <c r="B1910" t="str">
        <f>"EHPAD ACCUEIL DE JOUR LE MISSILIEN"</f>
        <v>EHPAD ACCUEIL DE JOUR LE MISSILIEN</v>
      </c>
      <c r="C1910" t="s">
        <v>65</v>
      </c>
    </row>
    <row r="1911" spans="1:3" x14ac:dyDescent="0.25">
      <c r="A1911" t="str">
        <f>"290035047"</f>
        <v>290035047</v>
      </c>
      <c r="B1911" t="str">
        <f>"MAISON DE L'AIDANT"</f>
        <v>MAISON DE L'AIDANT</v>
      </c>
      <c r="C1911" t="s">
        <v>65</v>
      </c>
    </row>
    <row r="1912" spans="1:3" x14ac:dyDescent="0.25">
      <c r="A1912" t="str">
        <f>"290035807"</f>
        <v>290035807</v>
      </c>
      <c r="B1912" t="str">
        <f>"RESIDENCE DE PERSIVIEN"</f>
        <v>RESIDENCE DE PERSIVIEN</v>
      </c>
      <c r="C1912" t="s">
        <v>65</v>
      </c>
    </row>
    <row r="1913" spans="1:3" x14ac:dyDescent="0.25">
      <c r="A1913" t="str">
        <f>"290035815"</f>
        <v>290035815</v>
      </c>
      <c r="B1913" t="str">
        <f>"RESIDENCE LE DORGUEN"</f>
        <v>RESIDENCE LE DORGUEN</v>
      </c>
      <c r="C1913" t="s">
        <v>65</v>
      </c>
    </row>
    <row r="1914" spans="1:3" x14ac:dyDescent="0.25">
      <c r="A1914" t="str">
        <f>"290035823"</f>
        <v>290035823</v>
      </c>
      <c r="B1914" t="str">
        <f>"RESIDENCE LE CLEUSMEUR"</f>
        <v>RESIDENCE LE CLEUSMEUR</v>
      </c>
      <c r="C1914" t="s">
        <v>65</v>
      </c>
    </row>
    <row r="1915" spans="1:3" x14ac:dyDescent="0.25">
      <c r="A1915" t="str">
        <f>"290035872"</f>
        <v>290035872</v>
      </c>
      <c r="B1915" t="str">
        <f>"EHPAD TI DEGEMER"</f>
        <v>EHPAD TI DEGEMER</v>
      </c>
      <c r="C1915" t="s">
        <v>65</v>
      </c>
    </row>
    <row r="1916" spans="1:3" x14ac:dyDescent="0.25">
      <c r="A1916" t="str">
        <f>"290035880"</f>
        <v>290035880</v>
      </c>
      <c r="B1916" t="str">
        <f>"EHPAD TY MARHIC"</f>
        <v>EHPAD TY MARHIC</v>
      </c>
      <c r="C1916" t="s">
        <v>65</v>
      </c>
    </row>
    <row r="1917" spans="1:3" x14ac:dyDescent="0.25">
      <c r="A1917" t="str">
        <f>"290036847"</f>
        <v>290036847</v>
      </c>
      <c r="B1917" t="str">
        <f>"ACCUEIL DE JOUR EHPAD LA VALLEE"</f>
        <v>ACCUEIL DE JOUR EHPAD LA VALLEE</v>
      </c>
      <c r="C1917" t="s">
        <v>65</v>
      </c>
    </row>
    <row r="1918" spans="1:3" x14ac:dyDescent="0.25">
      <c r="A1918" t="str">
        <f>"290037811"</f>
        <v>290037811</v>
      </c>
      <c r="B1918" t="str">
        <f>"EHPAD AVEL GENWERZH"</f>
        <v>EHPAD AVEL GENWERZH</v>
      </c>
      <c r="C1918" t="s">
        <v>65</v>
      </c>
    </row>
    <row r="1919" spans="1:3" x14ac:dyDescent="0.25">
      <c r="A1919" t="str">
        <f>"290038793"</f>
        <v>290038793</v>
      </c>
      <c r="B1919" t="str">
        <f>"EHPAD COAT KERHUEL SITE CONCARNEAU"</f>
        <v>EHPAD COAT KERHUEL SITE CONCARNEAU</v>
      </c>
      <c r="C1919" t="s">
        <v>65</v>
      </c>
    </row>
    <row r="1920" spans="1:3" x14ac:dyDescent="0.25">
      <c r="A1920" t="str">
        <f>"300002201"</f>
        <v>300002201</v>
      </c>
      <c r="B1920" t="str">
        <f>"EHPAD SAINT LAURENT"</f>
        <v>EHPAD SAINT LAURENT</v>
      </c>
      <c r="C1920" t="s">
        <v>77</v>
      </c>
    </row>
    <row r="1921" spans="1:3" x14ac:dyDescent="0.25">
      <c r="A1921" t="str">
        <f>"300002888"</f>
        <v>300002888</v>
      </c>
      <c r="B1921" t="str">
        <f>"EHPAD LES JARDINS DE ST HILAIRE"</f>
        <v>EHPAD LES JARDINS DE ST HILAIRE</v>
      </c>
      <c r="C1921" t="s">
        <v>77</v>
      </c>
    </row>
    <row r="1922" spans="1:3" x14ac:dyDescent="0.25">
      <c r="A1922" t="str">
        <f>"300003118"</f>
        <v>300003118</v>
      </c>
      <c r="B1922" t="str">
        <f>"EHPAD JEAN JUSTIN BONNEFOND"</f>
        <v>EHPAD JEAN JUSTIN BONNEFOND</v>
      </c>
      <c r="C1922" t="s">
        <v>77</v>
      </c>
    </row>
    <row r="1923" spans="1:3" x14ac:dyDescent="0.25">
      <c r="A1923" t="str">
        <f>"300003159"</f>
        <v>300003159</v>
      </c>
      <c r="B1923" t="str">
        <f>"EHPAD RESIDENCE VAL DE CEZE"</f>
        <v>EHPAD RESIDENCE VAL DE CEZE</v>
      </c>
      <c r="C1923" t="s">
        <v>77</v>
      </c>
    </row>
    <row r="1924" spans="1:3" x14ac:dyDescent="0.25">
      <c r="A1924" t="str">
        <f>"300004199"</f>
        <v>300004199</v>
      </c>
      <c r="B1924" t="str">
        <f>"EHPAD JACQUES SAURIN"</f>
        <v>EHPAD JACQUES SAURIN</v>
      </c>
      <c r="C1924" t="s">
        <v>77</v>
      </c>
    </row>
    <row r="1925" spans="1:3" x14ac:dyDescent="0.25">
      <c r="A1925" t="str">
        <f>"300004298"</f>
        <v>300004298</v>
      </c>
      <c r="B1925" t="str">
        <f>"EHPAD LES CINQ SENS"</f>
        <v>EHPAD LES CINQ SENS</v>
      </c>
      <c r="C1925" t="s">
        <v>77</v>
      </c>
    </row>
    <row r="1926" spans="1:3" x14ac:dyDescent="0.25">
      <c r="A1926" t="str">
        <f>"300007739"</f>
        <v>300007739</v>
      </c>
      <c r="B1926" t="str">
        <f>"EHPAD LE MAS DES OLIVIERS"</f>
        <v>EHPAD LE MAS DES OLIVIERS</v>
      </c>
      <c r="C1926" t="s">
        <v>77</v>
      </c>
    </row>
    <row r="1927" spans="1:3" x14ac:dyDescent="0.25">
      <c r="A1927" t="str">
        <f>"300008489"</f>
        <v>300008489</v>
      </c>
      <c r="B1927" t="str">
        <f>"EHPAD LES JARDINS DE MEDICIS"</f>
        <v>EHPAD LES JARDINS DE MEDICIS</v>
      </c>
      <c r="C1927" t="s">
        <v>77</v>
      </c>
    </row>
    <row r="1928" spans="1:3" x14ac:dyDescent="0.25">
      <c r="A1928" t="str">
        <f>"300009529"</f>
        <v>300009529</v>
      </c>
      <c r="B1928" t="str">
        <f>"EHPAD RESIDENCE L'EUZIERE"</f>
        <v>EHPAD RESIDENCE L'EUZIERE</v>
      </c>
      <c r="C1928" t="s">
        <v>77</v>
      </c>
    </row>
    <row r="1929" spans="1:3" x14ac:dyDescent="0.25">
      <c r="A1929" t="str">
        <f>"300010089"</f>
        <v>300010089</v>
      </c>
      <c r="B1929" t="str">
        <f>"EHPAD RESIDENCE SAMDO ROCHEBELLE"</f>
        <v>EHPAD RESIDENCE SAMDO ROCHEBELLE</v>
      </c>
      <c r="C1929" t="s">
        <v>77</v>
      </c>
    </row>
    <row r="1930" spans="1:3" x14ac:dyDescent="0.25">
      <c r="A1930" t="str">
        <f>"300010980"</f>
        <v>300010980</v>
      </c>
      <c r="B1930" t="str">
        <f>"EHPAD CHATEAU DE LABAHOU"</f>
        <v>EHPAD CHATEAU DE LABAHOU</v>
      </c>
      <c r="C1930" t="s">
        <v>77</v>
      </c>
    </row>
    <row r="1931" spans="1:3" x14ac:dyDescent="0.25">
      <c r="A1931" t="str">
        <f>"300011764"</f>
        <v>300011764</v>
      </c>
      <c r="B1931" t="str">
        <f>"EHPAD MAISON BLEUE"</f>
        <v>EHPAD MAISON BLEUE</v>
      </c>
      <c r="C1931" t="s">
        <v>77</v>
      </c>
    </row>
    <row r="1932" spans="1:3" x14ac:dyDescent="0.25">
      <c r="A1932" t="str">
        <f>"300012366"</f>
        <v>300012366</v>
      </c>
      <c r="B1932" t="str">
        <f>"EHPAD COTE CANAL"</f>
        <v>EHPAD COTE CANAL</v>
      </c>
      <c r="C1932" t="s">
        <v>77</v>
      </c>
    </row>
    <row r="1933" spans="1:3" x14ac:dyDescent="0.25">
      <c r="A1933" t="str">
        <f>"300012390"</f>
        <v>300012390</v>
      </c>
      <c r="B1933" t="str">
        <f>"EHPAD VILLA REDICIANO"</f>
        <v>EHPAD VILLA REDICIANO</v>
      </c>
      <c r="C1933" t="s">
        <v>77</v>
      </c>
    </row>
    <row r="1934" spans="1:3" x14ac:dyDescent="0.25">
      <c r="A1934" t="str">
        <f>"300012408"</f>
        <v>300012408</v>
      </c>
      <c r="B1934" t="str">
        <f>"EHPAD LES CAPRESIANES"</f>
        <v>EHPAD LES CAPRESIANES</v>
      </c>
      <c r="C1934" t="s">
        <v>77</v>
      </c>
    </row>
    <row r="1935" spans="1:3" x14ac:dyDescent="0.25">
      <c r="A1935" t="str">
        <f>"300012416"</f>
        <v>300012416</v>
      </c>
      <c r="B1935" t="str">
        <f>"EHPAD KORIAN MAS DE LAUZE"</f>
        <v>EHPAD KORIAN MAS DE LAUZE</v>
      </c>
      <c r="C1935" t="s">
        <v>77</v>
      </c>
    </row>
    <row r="1936" spans="1:3" x14ac:dyDescent="0.25">
      <c r="A1936" t="str">
        <f>"300012473"</f>
        <v>300012473</v>
      </c>
      <c r="B1936" t="str">
        <f>"EHPAD LES CAMELIAS"</f>
        <v>EHPAD LES CAMELIAS</v>
      </c>
      <c r="C1936" t="s">
        <v>77</v>
      </c>
    </row>
    <row r="1937" spans="1:3" x14ac:dyDescent="0.25">
      <c r="A1937" t="str">
        <f>"300012622"</f>
        <v>300012622</v>
      </c>
      <c r="B1937" t="str">
        <f>"EHPAD LE CASTELLAS"</f>
        <v>EHPAD LE CASTELLAS</v>
      </c>
      <c r="C1937" t="s">
        <v>77</v>
      </c>
    </row>
    <row r="1938" spans="1:3" x14ac:dyDescent="0.25">
      <c r="A1938" t="str">
        <f>"300012648"</f>
        <v>300012648</v>
      </c>
      <c r="B1938" t="str">
        <f>"EHPAD LES 4 SAISONS"</f>
        <v>EHPAD LES 4 SAISONS</v>
      </c>
      <c r="C1938" t="s">
        <v>77</v>
      </c>
    </row>
    <row r="1939" spans="1:3" x14ac:dyDescent="0.25">
      <c r="A1939" t="str">
        <f>"300012655"</f>
        <v>300012655</v>
      </c>
      <c r="B1939" t="str">
        <f>"EHPAD LES CIGALES"</f>
        <v>EHPAD LES CIGALES</v>
      </c>
      <c r="C1939" t="s">
        <v>77</v>
      </c>
    </row>
    <row r="1940" spans="1:3" x14ac:dyDescent="0.25">
      <c r="A1940" t="str">
        <f>"300012671"</f>
        <v>300012671</v>
      </c>
      <c r="B1940" t="str">
        <f>"EHPAD LES JARDINS MSP EVANGELIQUE"</f>
        <v>EHPAD LES JARDINS MSP EVANGELIQUE</v>
      </c>
      <c r="C1940" t="s">
        <v>77</v>
      </c>
    </row>
    <row r="1941" spans="1:3" x14ac:dyDescent="0.25">
      <c r="A1941" t="str">
        <f>"300012689"</f>
        <v>300012689</v>
      </c>
      <c r="B1941" t="str">
        <f>"EHPAD LES MAZETS DE L'ARGILIER"</f>
        <v>EHPAD LES MAZETS DE L'ARGILIER</v>
      </c>
      <c r="C1941" t="s">
        <v>77</v>
      </c>
    </row>
    <row r="1942" spans="1:3" x14ac:dyDescent="0.25">
      <c r="A1942" t="str">
        <f>"300012697"</f>
        <v>300012697</v>
      </c>
      <c r="B1942" t="str">
        <f>"EHPAD LES JARDINS DE L'ESCALETTE"</f>
        <v>EHPAD LES JARDINS DE L'ESCALETTE</v>
      </c>
      <c r="C1942" t="s">
        <v>77</v>
      </c>
    </row>
    <row r="1943" spans="1:3" x14ac:dyDescent="0.25">
      <c r="A1943" t="str">
        <f>"300012846"</f>
        <v>300012846</v>
      </c>
      <c r="B1943" t="str">
        <f>"EHPAD RESIDENCE LA CAMARGUE"</f>
        <v>EHPAD RESIDENCE LA CAMARGUE</v>
      </c>
      <c r="C1943" t="s">
        <v>77</v>
      </c>
    </row>
    <row r="1944" spans="1:3" x14ac:dyDescent="0.25">
      <c r="A1944" t="str">
        <f>"300012887"</f>
        <v>300012887</v>
      </c>
      <c r="B1944" t="str">
        <f>"EHPAD LES TERRASSES DE LA RUE DE SAUVE"</f>
        <v>EHPAD LES TERRASSES DE LA RUE DE SAUVE</v>
      </c>
      <c r="C1944" t="s">
        <v>77</v>
      </c>
    </row>
    <row r="1945" spans="1:3" x14ac:dyDescent="0.25">
      <c r="A1945" t="str">
        <f>"300012895"</f>
        <v>300012895</v>
      </c>
      <c r="B1945" t="str">
        <f>"EHPAD RESIDENCE SAMDO POMAREDE"</f>
        <v>EHPAD RESIDENCE SAMDO POMAREDE</v>
      </c>
      <c r="C1945" t="s">
        <v>77</v>
      </c>
    </row>
    <row r="1946" spans="1:3" x14ac:dyDescent="0.25">
      <c r="A1946" t="str">
        <f>"300012929"</f>
        <v>300012929</v>
      </c>
      <c r="B1946" t="str">
        <f>"EHPAD JEAN LASSERRE"</f>
        <v>EHPAD JEAN LASSERRE</v>
      </c>
      <c r="C1946" t="s">
        <v>77</v>
      </c>
    </row>
    <row r="1947" spans="1:3" x14ac:dyDescent="0.25">
      <c r="A1947" t="str">
        <f>"300012937"</f>
        <v>300012937</v>
      </c>
      <c r="B1947" t="str">
        <f>"EHPAD GASTON DOUMERGUE"</f>
        <v>EHPAD GASTON DOUMERGUE</v>
      </c>
      <c r="C1947" t="s">
        <v>77</v>
      </c>
    </row>
    <row r="1948" spans="1:3" x14ac:dyDescent="0.25">
      <c r="A1948" t="str">
        <f>"300012986"</f>
        <v>300012986</v>
      </c>
      <c r="B1948" t="str">
        <f>"EHPAD RESIDENCE PETITE CAMARGUE"</f>
        <v>EHPAD RESIDENCE PETITE CAMARGUE</v>
      </c>
      <c r="C1948" t="s">
        <v>77</v>
      </c>
    </row>
    <row r="1949" spans="1:3" x14ac:dyDescent="0.25">
      <c r="A1949" t="str">
        <f>"300013018"</f>
        <v>300013018</v>
      </c>
      <c r="B1949" t="str">
        <f>"EHPAD MEYNES"</f>
        <v>EHPAD MEYNES</v>
      </c>
      <c r="C1949" t="s">
        <v>77</v>
      </c>
    </row>
    <row r="1950" spans="1:3" x14ac:dyDescent="0.25">
      <c r="A1950" t="str">
        <f>"300013364"</f>
        <v>300013364</v>
      </c>
      <c r="B1950" t="str">
        <f>"EHPAD CH PONTEILS"</f>
        <v>EHPAD CH PONTEILS</v>
      </c>
      <c r="C1950" t="s">
        <v>77</v>
      </c>
    </row>
    <row r="1951" spans="1:3" x14ac:dyDescent="0.25">
      <c r="A1951" t="str">
        <f>"300013588"</f>
        <v>300013588</v>
      </c>
      <c r="B1951" t="str">
        <f>"EHPAD LES JASSES"</f>
        <v>EHPAD LES JASSES</v>
      </c>
      <c r="C1951" t="s">
        <v>77</v>
      </c>
    </row>
    <row r="1952" spans="1:3" x14ac:dyDescent="0.25">
      <c r="A1952" t="str">
        <f>"300019205"</f>
        <v>300019205</v>
      </c>
      <c r="B1952" t="str">
        <f>"EHPAD-RES NOTRE DAME DE LA BLACHE"</f>
        <v>EHPAD-RES NOTRE DAME DE LA BLACHE</v>
      </c>
      <c r="C1952" t="s">
        <v>77</v>
      </c>
    </row>
    <row r="1953" spans="1:3" x14ac:dyDescent="0.25">
      <c r="A1953" t="str">
        <f>"300780806"</f>
        <v>300780806</v>
      </c>
      <c r="B1953" t="str">
        <f>"EHPAD CLAIR SOLEIL"</f>
        <v>EHPAD CLAIR SOLEIL</v>
      </c>
      <c r="C1953" t="s">
        <v>77</v>
      </c>
    </row>
    <row r="1954" spans="1:3" x14ac:dyDescent="0.25">
      <c r="A1954" t="str">
        <f>"300780830"</f>
        <v>300780830</v>
      </c>
      <c r="B1954" t="str">
        <f>"EHPAD ST ROCH"</f>
        <v>EHPAD ST ROCH</v>
      </c>
      <c r="C1954" t="s">
        <v>77</v>
      </c>
    </row>
    <row r="1955" spans="1:3" x14ac:dyDescent="0.25">
      <c r="A1955" t="str">
        <f>"300781044"</f>
        <v>300781044</v>
      </c>
      <c r="B1955" t="str">
        <f>"EHPAD LA MAISON DE SECOURS"</f>
        <v>EHPAD LA MAISON DE SECOURS</v>
      </c>
      <c r="C1955" t="s">
        <v>77</v>
      </c>
    </row>
    <row r="1956" spans="1:3" x14ac:dyDescent="0.25">
      <c r="A1956" t="str">
        <f>"300781135"</f>
        <v>300781135</v>
      </c>
      <c r="B1956" t="str">
        <f>"EHPAD DOCTEUR HENRY GRANET"</f>
        <v>EHPAD DOCTEUR HENRY GRANET</v>
      </c>
      <c r="C1956" t="s">
        <v>77</v>
      </c>
    </row>
    <row r="1957" spans="1:3" x14ac:dyDescent="0.25">
      <c r="A1957" t="str">
        <f>"300781143"</f>
        <v>300781143</v>
      </c>
      <c r="B1957" t="str">
        <f>"EHPAD ALFRED SILHOL"</f>
        <v>EHPAD ALFRED SILHOL</v>
      </c>
      <c r="C1957" t="s">
        <v>77</v>
      </c>
    </row>
    <row r="1958" spans="1:3" x14ac:dyDescent="0.25">
      <c r="A1958" t="str">
        <f>"300781150"</f>
        <v>300781150</v>
      </c>
      <c r="B1958" t="str">
        <f>"EHPAD LE BRESTALOU"</f>
        <v>EHPAD LE BRESTALOU</v>
      </c>
      <c r="C1958" t="s">
        <v>77</v>
      </c>
    </row>
    <row r="1959" spans="1:3" x14ac:dyDescent="0.25">
      <c r="A1959" t="str">
        <f>"300781168"</f>
        <v>300781168</v>
      </c>
      <c r="B1959" t="str">
        <f>"EHPAD DEVILLAS"</f>
        <v>EHPAD DEVILLAS</v>
      </c>
      <c r="C1959" t="s">
        <v>77</v>
      </c>
    </row>
    <row r="1960" spans="1:3" x14ac:dyDescent="0.25">
      <c r="A1960" t="str">
        <f>"300781176"</f>
        <v>300781176</v>
      </c>
      <c r="B1960" t="str">
        <f>"EHPAD LES LAVANDINES"</f>
        <v>EHPAD LES LAVANDINES</v>
      </c>
      <c r="C1960" t="s">
        <v>77</v>
      </c>
    </row>
    <row r="1961" spans="1:3" x14ac:dyDescent="0.25">
      <c r="A1961" t="str">
        <f>"300781184"</f>
        <v>300781184</v>
      </c>
      <c r="B1961" t="str">
        <f>"EHPAD LES JARDINS DE LA CEZE"</f>
        <v>EHPAD LES JARDINS DE LA CEZE</v>
      </c>
      <c r="C1961" t="s">
        <v>77</v>
      </c>
    </row>
    <row r="1962" spans="1:3" x14ac:dyDescent="0.25">
      <c r="A1962" t="str">
        <f>"300781192"</f>
        <v>300781192</v>
      </c>
      <c r="B1962" t="str">
        <f>"EHPAD LES JONQUILLES"</f>
        <v>EHPAD LES JONQUILLES</v>
      </c>
      <c r="C1962" t="s">
        <v>77</v>
      </c>
    </row>
    <row r="1963" spans="1:3" x14ac:dyDescent="0.25">
      <c r="A1963" t="str">
        <f>"300781200"</f>
        <v>300781200</v>
      </c>
      <c r="B1963" t="str">
        <f>"EHPAD PIE DE MAR"</f>
        <v>EHPAD PIE DE MAR</v>
      </c>
      <c r="C1963" t="s">
        <v>77</v>
      </c>
    </row>
    <row r="1964" spans="1:3" x14ac:dyDescent="0.25">
      <c r="A1964" t="str">
        <f>"300781218"</f>
        <v>300781218</v>
      </c>
      <c r="B1964" t="str">
        <f>"EHPAD LA COUSTOURELLE"</f>
        <v>EHPAD LA COUSTOURELLE</v>
      </c>
      <c r="C1964" t="s">
        <v>77</v>
      </c>
    </row>
    <row r="1965" spans="1:3" x14ac:dyDescent="0.25">
      <c r="A1965" t="str">
        <f>"300781259"</f>
        <v>300781259</v>
      </c>
      <c r="B1965" t="str">
        <f>"EHPAD FIL D'ARGENT"</f>
        <v>EHPAD FIL D'ARGENT</v>
      </c>
      <c r="C1965" t="s">
        <v>77</v>
      </c>
    </row>
    <row r="1966" spans="1:3" x14ac:dyDescent="0.25">
      <c r="A1966" t="str">
        <f>"300781267"</f>
        <v>300781267</v>
      </c>
      <c r="B1966" t="str">
        <f>"EHPAD LE VIDOURLE"</f>
        <v>EHPAD LE VIDOURLE</v>
      </c>
      <c r="C1966" t="s">
        <v>77</v>
      </c>
    </row>
    <row r="1967" spans="1:3" x14ac:dyDescent="0.25">
      <c r="A1967" t="str">
        <f>"300781416"</f>
        <v>300781416</v>
      </c>
      <c r="B1967" t="str">
        <f>"EHPAD RESIDENCE L'ACCUEIL"</f>
        <v>EHPAD RESIDENCE L'ACCUEIL</v>
      </c>
      <c r="C1967" t="s">
        <v>77</v>
      </c>
    </row>
    <row r="1968" spans="1:3" x14ac:dyDescent="0.25">
      <c r="A1968" t="str">
        <f>"300781457"</f>
        <v>300781457</v>
      </c>
      <c r="B1968" t="str">
        <f>"EHPAD FONDATION ROLLIN"</f>
        <v>EHPAD FONDATION ROLLIN</v>
      </c>
      <c r="C1968" t="s">
        <v>77</v>
      </c>
    </row>
    <row r="1969" spans="1:3" x14ac:dyDescent="0.25">
      <c r="A1969" t="str">
        <f>"300781481"</f>
        <v>300781481</v>
      </c>
      <c r="B1969" t="str">
        <f>"EHPAD LUMIERE ET PAIX"</f>
        <v>EHPAD LUMIERE ET PAIX</v>
      </c>
      <c r="C1969" t="s">
        <v>77</v>
      </c>
    </row>
    <row r="1970" spans="1:3" x14ac:dyDescent="0.25">
      <c r="A1970" t="str">
        <f>"300783479"</f>
        <v>300783479</v>
      </c>
      <c r="B1970" t="str">
        <f>"EHPAD NOTRE DAME DES MINES"</f>
        <v>EHPAD NOTRE DAME DES MINES</v>
      </c>
      <c r="C1970" t="s">
        <v>77</v>
      </c>
    </row>
    <row r="1971" spans="1:3" x14ac:dyDescent="0.25">
      <c r="A1971" t="str">
        <f>"300783487"</f>
        <v>300783487</v>
      </c>
      <c r="B1971" t="str">
        <f>"EHPAD MA MAISON"</f>
        <v>EHPAD MA MAISON</v>
      </c>
      <c r="C1971" t="s">
        <v>77</v>
      </c>
    </row>
    <row r="1972" spans="1:3" x14ac:dyDescent="0.25">
      <c r="A1972" t="str">
        <f>"300783495"</f>
        <v>300783495</v>
      </c>
      <c r="B1972" t="str">
        <f>"EHPAD RESIDENCE SAINT VINCENT DE PAUL"</f>
        <v>EHPAD RESIDENCE SAINT VINCENT DE PAUL</v>
      </c>
      <c r="C1972" t="s">
        <v>77</v>
      </c>
    </row>
    <row r="1973" spans="1:3" x14ac:dyDescent="0.25">
      <c r="A1973" t="str">
        <f>"300783503"</f>
        <v>300783503</v>
      </c>
      <c r="B1973" t="str">
        <f>"EHPAD LE FOYER PAUL JORDANA"</f>
        <v>EHPAD LE FOYER PAUL JORDANA</v>
      </c>
      <c r="C1973" t="s">
        <v>77</v>
      </c>
    </row>
    <row r="1974" spans="1:3" x14ac:dyDescent="0.25">
      <c r="A1974" t="str">
        <f>"300783511"</f>
        <v>300783511</v>
      </c>
      <c r="B1974" t="str">
        <f>"EHPAD LA PINEDE"</f>
        <v>EHPAD LA PINEDE</v>
      </c>
      <c r="C1974" t="s">
        <v>77</v>
      </c>
    </row>
    <row r="1975" spans="1:3" x14ac:dyDescent="0.25">
      <c r="A1975" t="str">
        <f>"300783529"</f>
        <v>300783529</v>
      </c>
      <c r="B1975" t="str">
        <f>"EHPAD RIVIERE MARZE"</f>
        <v>EHPAD RIVIERE MARZE</v>
      </c>
      <c r="C1975" t="s">
        <v>77</v>
      </c>
    </row>
    <row r="1976" spans="1:3" x14ac:dyDescent="0.25">
      <c r="A1976" t="str">
        <f>"300783537"</f>
        <v>300783537</v>
      </c>
      <c r="B1976" t="str">
        <f>"EHPAD RESIDENCE INDIGO"</f>
        <v>EHPAD RESIDENCE INDIGO</v>
      </c>
      <c r="C1976" t="s">
        <v>77</v>
      </c>
    </row>
    <row r="1977" spans="1:3" x14ac:dyDescent="0.25">
      <c r="A1977" t="str">
        <f>"300783545"</f>
        <v>300783545</v>
      </c>
      <c r="B1977" t="str">
        <f>"EHPAD LES OLIVIERS"</f>
        <v>EHPAD LES OLIVIERS</v>
      </c>
      <c r="C1977" t="s">
        <v>77</v>
      </c>
    </row>
    <row r="1978" spans="1:3" x14ac:dyDescent="0.25">
      <c r="A1978" t="str">
        <f>"300783552"</f>
        <v>300783552</v>
      </c>
      <c r="B1978" t="str">
        <f>"EHPAD CHATEAU DE MONTVAILLANT"</f>
        <v>EHPAD CHATEAU DE MONTVAILLANT</v>
      </c>
      <c r="C1978" t="s">
        <v>77</v>
      </c>
    </row>
    <row r="1979" spans="1:3" x14ac:dyDescent="0.25">
      <c r="A1979" t="str">
        <f>"300783578"</f>
        <v>300783578</v>
      </c>
      <c r="B1979" t="str">
        <f>"EHPAD RESIDENCE SOUBEIRAN"</f>
        <v>EHPAD RESIDENCE SOUBEIRAN</v>
      </c>
      <c r="C1979" t="s">
        <v>77</v>
      </c>
    </row>
    <row r="1980" spans="1:3" x14ac:dyDescent="0.25">
      <c r="A1980" t="str">
        <f>"300783610"</f>
        <v>300783610</v>
      </c>
      <c r="B1980" t="str">
        <f>"EHPAD CLAIR LOGIS"</f>
        <v>EHPAD CLAIR LOGIS</v>
      </c>
      <c r="C1980" t="s">
        <v>77</v>
      </c>
    </row>
    <row r="1981" spans="1:3" x14ac:dyDescent="0.25">
      <c r="A1981" t="str">
        <f>"300783669"</f>
        <v>300783669</v>
      </c>
      <c r="B1981" t="str">
        <f>"EHPAD CHATEAU NOTRE DAME"</f>
        <v>EHPAD CHATEAU NOTRE DAME</v>
      </c>
      <c r="C1981" t="s">
        <v>77</v>
      </c>
    </row>
    <row r="1982" spans="1:3" x14ac:dyDescent="0.25">
      <c r="A1982" t="str">
        <f>"300783693"</f>
        <v>300783693</v>
      </c>
      <c r="B1982" t="str">
        <f>"EHPAD NOTRE DAME DES PINS"</f>
        <v>EHPAD NOTRE DAME DES PINS</v>
      </c>
      <c r="C1982" t="s">
        <v>77</v>
      </c>
    </row>
    <row r="1983" spans="1:3" x14ac:dyDescent="0.25">
      <c r="A1983" t="str">
        <f>"300783701"</f>
        <v>300783701</v>
      </c>
      <c r="B1983" t="str">
        <f>"EHPAD LES CISTES"</f>
        <v>EHPAD LES CISTES</v>
      </c>
      <c r="C1983" t="s">
        <v>77</v>
      </c>
    </row>
    <row r="1984" spans="1:3" x14ac:dyDescent="0.25">
      <c r="A1984" t="str">
        <f>"300783743"</f>
        <v>300783743</v>
      </c>
      <c r="B1984" t="str">
        <f>"EHPAD LE BOSQUET"</f>
        <v>EHPAD LE BOSQUET</v>
      </c>
      <c r="C1984" t="s">
        <v>77</v>
      </c>
    </row>
    <row r="1985" spans="1:3" x14ac:dyDescent="0.25">
      <c r="A1985" t="str">
        <f>"300783883"</f>
        <v>300783883</v>
      </c>
      <c r="B1985" t="str">
        <f>"EHPAD L'OUSTAOU"</f>
        <v>EHPAD L'OUSTAOU</v>
      </c>
      <c r="C1985" t="s">
        <v>77</v>
      </c>
    </row>
    <row r="1986" spans="1:3" x14ac:dyDescent="0.25">
      <c r="A1986" t="str">
        <f>"300784675"</f>
        <v>300784675</v>
      </c>
      <c r="B1986" t="str">
        <f>"EHPAD SAINT JOSEPH"</f>
        <v>EHPAD SAINT JOSEPH</v>
      </c>
      <c r="C1986" t="s">
        <v>77</v>
      </c>
    </row>
    <row r="1987" spans="1:3" x14ac:dyDescent="0.25">
      <c r="A1987" t="str">
        <f>"300785045"</f>
        <v>300785045</v>
      </c>
      <c r="B1987" t="str">
        <f>"EHPAD SERRES CAVALIER"</f>
        <v>EHPAD SERRES CAVALIER</v>
      </c>
      <c r="C1987" t="s">
        <v>77</v>
      </c>
    </row>
    <row r="1988" spans="1:3" x14ac:dyDescent="0.25">
      <c r="A1988" t="str">
        <f>"300785086"</f>
        <v>300785086</v>
      </c>
      <c r="B1988" t="str">
        <f>"EHPAD LOU CANTO"</f>
        <v>EHPAD LOU CANTO</v>
      </c>
      <c r="C1988" t="s">
        <v>77</v>
      </c>
    </row>
    <row r="1989" spans="1:3" x14ac:dyDescent="0.25">
      <c r="A1989" t="str">
        <f>"300785094"</f>
        <v>300785094</v>
      </c>
      <c r="B1989" t="str">
        <f>"EHPAD LES 7 SOURCES"</f>
        <v>EHPAD LES 7 SOURCES</v>
      </c>
      <c r="C1989" t="s">
        <v>77</v>
      </c>
    </row>
    <row r="1990" spans="1:3" x14ac:dyDescent="0.25">
      <c r="A1990" t="str">
        <f>"300785110"</f>
        <v>300785110</v>
      </c>
      <c r="B1990" t="str">
        <f>"EHPAD L'OUSTAU"</f>
        <v>EHPAD L'OUSTAU</v>
      </c>
      <c r="C1990" t="s">
        <v>77</v>
      </c>
    </row>
    <row r="1991" spans="1:3" x14ac:dyDescent="0.25">
      <c r="A1991" t="str">
        <f>"300785136"</f>
        <v>300785136</v>
      </c>
      <c r="B1991" t="str">
        <f>"EHPAD CH PONT SAINT ESPRIT"</f>
        <v>EHPAD CH PONT SAINT ESPRIT</v>
      </c>
      <c r="C1991" t="s">
        <v>77</v>
      </c>
    </row>
    <row r="1992" spans="1:3" x14ac:dyDescent="0.25">
      <c r="A1992" t="str">
        <f>"300785144"</f>
        <v>300785144</v>
      </c>
      <c r="B1992" t="str">
        <f>"EHPAD LES TERRASSES DE GISFORT"</f>
        <v>EHPAD LES TERRASSES DE GISFORT</v>
      </c>
      <c r="C1992" t="s">
        <v>77</v>
      </c>
    </row>
    <row r="1993" spans="1:3" x14ac:dyDescent="0.25">
      <c r="A1993" t="str">
        <f>"300785169"</f>
        <v>300785169</v>
      </c>
      <c r="B1993" t="str">
        <f>"EHPAD LES JARDINS DES ORANTES"</f>
        <v>EHPAD LES JARDINS DES ORANTES</v>
      </c>
      <c r="C1993" t="s">
        <v>77</v>
      </c>
    </row>
    <row r="1994" spans="1:3" x14ac:dyDescent="0.25">
      <c r="A1994" t="str">
        <f>"300785177"</f>
        <v>300785177</v>
      </c>
      <c r="B1994" t="str">
        <f>"EHPAD CENTRE DU DR PAUL GACHE"</f>
        <v>EHPAD CENTRE DU DR PAUL GACHE</v>
      </c>
      <c r="C1994" t="s">
        <v>77</v>
      </c>
    </row>
    <row r="1995" spans="1:3" x14ac:dyDescent="0.25">
      <c r="A1995" t="str">
        <f>"300785185"</f>
        <v>300785185</v>
      </c>
      <c r="B1995" t="str">
        <f>"EHPAD MSP ALES"</f>
        <v>EHPAD MSP ALES</v>
      </c>
      <c r="C1995" t="s">
        <v>77</v>
      </c>
    </row>
    <row r="1996" spans="1:3" x14ac:dyDescent="0.25">
      <c r="A1996" t="str">
        <f>"300785193"</f>
        <v>300785193</v>
      </c>
      <c r="B1996" t="str">
        <f>"EHPAD QUAI DE LA FONTAINE"</f>
        <v>EHPAD QUAI DE LA FONTAINE</v>
      </c>
      <c r="C1996" t="s">
        <v>77</v>
      </c>
    </row>
    <row r="1997" spans="1:3" x14ac:dyDescent="0.25">
      <c r="A1997" t="str">
        <f>"300785284"</f>
        <v>300785284</v>
      </c>
      <c r="B1997" t="str">
        <f>"EHPAD RESIDENCE LES OPALINES BERNIS"</f>
        <v>EHPAD RESIDENCE LES OPALINES BERNIS</v>
      </c>
      <c r="C1997" t="s">
        <v>77</v>
      </c>
    </row>
    <row r="1998" spans="1:3" x14ac:dyDescent="0.25">
      <c r="A1998" t="str">
        <f>"300785318"</f>
        <v>300785318</v>
      </c>
      <c r="B1998" t="str">
        <f>"EHPAD LES MAGNANS"</f>
        <v>EHPAD LES MAGNANS</v>
      </c>
      <c r="C1998" t="s">
        <v>77</v>
      </c>
    </row>
    <row r="1999" spans="1:3" x14ac:dyDescent="0.25">
      <c r="A1999" t="str">
        <f>"300785367"</f>
        <v>300785367</v>
      </c>
      <c r="B1999" t="str">
        <f>"EHPAD AUGUSTA BESSON"</f>
        <v>EHPAD AUGUSTA BESSON</v>
      </c>
      <c r="C1999" t="s">
        <v>77</v>
      </c>
    </row>
    <row r="2000" spans="1:3" x14ac:dyDescent="0.25">
      <c r="A2000" t="str">
        <f>"300785565"</f>
        <v>300785565</v>
      </c>
      <c r="B2000" t="str">
        <f>"EHPAD LES OPALINES NIMES LES SOLEIADES"</f>
        <v>EHPAD LES OPALINES NIMES LES SOLEIADES</v>
      </c>
      <c r="C2000" t="s">
        <v>77</v>
      </c>
    </row>
    <row r="2001" spans="1:3" x14ac:dyDescent="0.25">
      <c r="A2001" t="str">
        <f>"300786118"</f>
        <v>300786118</v>
      </c>
      <c r="B2001" t="str">
        <f>"EHPAD LES GLYCINES"</f>
        <v>EHPAD LES GLYCINES</v>
      </c>
      <c r="C2001" t="s">
        <v>77</v>
      </c>
    </row>
    <row r="2002" spans="1:3" x14ac:dyDescent="0.25">
      <c r="A2002" t="str">
        <f>"300786159"</f>
        <v>300786159</v>
      </c>
      <c r="B2002" t="str">
        <f>"EHPAD RESIDENCE CHAMPORUS"</f>
        <v>EHPAD RESIDENCE CHAMPORUS</v>
      </c>
      <c r="C2002" t="s">
        <v>77</v>
      </c>
    </row>
    <row r="2003" spans="1:3" x14ac:dyDescent="0.25">
      <c r="A2003" t="str">
        <f>"300786506"</f>
        <v>300786506</v>
      </c>
      <c r="B2003" t="str">
        <f>"EHPAD LE VIGNET"</f>
        <v>EHPAD LE VIGNET</v>
      </c>
      <c r="C2003" t="s">
        <v>77</v>
      </c>
    </row>
    <row r="2004" spans="1:3" x14ac:dyDescent="0.25">
      <c r="A2004" t="str">
        <f>"300786837"</f>
        <v>300786837</v>
      </c>
      <c r="B2004" t="str">
        <f>"EHPAD LES PORTES DE NIMES"</f>
        <v>EHPAD LES PORTES DE NIMES</v>
      </c>
      <c r="C2004" t="s">
        <v>77</v>
      </c>
    </row>
    <row r="2005" spans="1:3" x14ac:dyDescent="0.25">
      <c r="A2005" t="str">
        <f>"300787090"</f>
        <v>300787090</v>
      </c>
      <c r="B2005" t="str">
        <f>"EHPAD RESIDENCE DU LANGUEDOC"</f>
        <v>EHPAD RESIDENCE DU LANGUEDOC</v>
      </c>
      <c r="C2005" t="s">
        <v>77</v>
      </c>
    </row>
    <row r="2006" spans="1:3" x14ac:dyDescent="0.25">
      <c r="A2006" t="str">
        <f>"300787470"</f>
        <v>300787470</v>
      </c>
      <c r="B2006" t="str">
        <f>"EHPAD MAURICE LARGUIER"</f>
        <v>EHPAD MAURICE LARGUIER</v>
      </c>
      <c r="C2006" t="s">
        <v>77</v>
      </c>
    </row>
    <row r="2007" spans="1:3" x14ac:dyDescent="0.25">
      <c r="A2007" t="str">
        <f>"300787504"</f>
        <v>300787504</v>
      </c>
      <c r="B2007" t="str">
        <f>"EHPAD LES CIGALES"</f>
        <v>EHPAD LES CIGALES</v>
      </c>
      <c r="C2007" t="s">
        <v>77</v>
      </c>
    </row>
    <row r="2008" spans="1:3" x14ac:dyDescent="0.25">
      <c r="A2008" t="str">
        <f>"300788239"</f>
        <v>300788239</v>
      </c>
      <c r="B2008" t="str">
        <f>"EHPAD LA CAPITELLE"</f>
        <v>EHPAD LA CAPITELLE</v>
      </c>
      <c r="C2008" t="s">
        <v>77</v>
      </c>
    </row>
    <row r="2009" spans="1:3" x14ac:dyDescent="0.25">
      <c r="A2009" t="str">
        <f>"300788460"</f>
        <v>300788460</v>
      </c>
      <c r="B2009" t="str">
        <f>"EHPAD LES OPALINES NIMES LES OLIVIERS"</f>
        <v>EHPAD LES OPALINES NIMES LES OLIVIERS</v>
      </c>
      <c r="C2009" t="s">
        <v>77</v>
      </c>
    </row>
    <row r="2010" spans="1:3" x14ac:dyDescent="0.25">
      <c r="A2010" t="str">
        <f>"310003116"</f>
        <v>310003116</v>
      </c>
      <c r="B2010" t="str">
        <f>"EHPAD RESIDENCE SAINT-SIMON"</f>
        <v>EHPAD RESIDENCE SAINT-SIMON</v>
      </c>
      <c r="C2010" t="s">
        <v>77</v>
      </c>
    </row>
    <row r="2011" spans="1:3" x14ac:dyDescent="0.25">
      <c r="A2011" t="str">
        <f>"310003579"</f>
        <v>310003579</v>
      </c>
      <c r="B2011" t="str">
        <f>"EHPAD RESIDENCE LES SERPOLETS"</f>
        <v>EHPAD RESIDENCE LES SERPOLETS</v>
      </c>
      <c r="C2011" t="s">
        <v>77</v>
      </c>
    </row>
    <row r="2012" spans="1:3" x14ac:dyDescent="0.25">
      <c r="A2012" t="str">
        <f>"310004338"</f>
        <v>310004338</v>
      </c>
      <c r="B2012" t="str">
        <f>"EHPAD LA CHARTREUSE"</f>
        <v>EHPAD LA CHARTREUSE</v>
      </c>
      <c r="C2012" t="s">
        <v>77</v>
      </c>
    </row>
    <row r="2013" spans="1:3" x14ac:dyDescent="0.25">
      <c r="A2013" t="str">
        <f>"310006523"</f>
        <v>310006523</v>
      </c>
      <c r="B2013" t="str">
        <f>"EHPAD RESIDENCE LE BOIS VERT"</f>
        <v>EHPAD RESIDENCE LE BOIS VERT</v>
      </c>
      <c r="C2013" t="s">
        <v>77</v>
      </c>
    </row>
    <row r="2014" spans="1:3" x14ac:dyDescent="0.25">
      <c r="A2014" t="str">
        <f>"310008339"</f>
        <v>310008339</v>
      </c>
      <c r="B2014" t="str">
        <f>"EHPAD LE GRAND MARQUISAT"</f>
        <v>EHPAD LE GRAND MARQUISAT</v>
      </c>
      <c r="C2014" t="s">
        <v>77</v>
      </c>
    </row>
    <row r="2015" spans="1:3" x14ac:dyDescent="0.25">
      <c r="A2015" t="str">
        <f>"310008859"</f>
        <v>310008859</v>
      </c>
      <c r="B2015" t="str">
        <f>"EHPAD LA PRADE"</f>
        <v>EHPAD LA PRADE</v>
      </c>
      <c r="C2015" t="s">
        <v>77</v>
      </c>
    </row>
    <row r="2016" spans="1:3" x14ac:dyDescent="0.25">
      <c r="A2016" t="str">
        <f>"310009048"</f>
        <v>310009048</v>
      </c>
      <c r="B2016" t="str">
        <f>"EHPAD LA CHENERAIE"</f>
        <v>EHPAD LA CHENERAIE</v>
      </c>
      <c r="C2016" t="s">
        <v>77</v>
      </c>
    </row>
    <row r="2017" spans="1:3" x14ac:dyDescent="0.25">
      <c r="A2017" t="str">
        <f>"310010509"</f>
        <v>310010509</v>
      </c>
      <c r="B2017" t="str">
        <f>"EHPAD OREE DU BOIS"</f>
        <v>EHPAD OREE DU BOIS</v>
      </c>
      <c r="C2017" t="s">
        <v>77</v>
      </c>
    </row>
    <row r="2018" spans="1:3" x14ac:dyDescent="0.25">
      <c r="A2018" t="str">
        <f>"310010699"</f>
        <v>310010699</v>
      </c>
      <c r="B2018" t="str">
        <f>"EHPAD MARENGO JOLIMONT"</f>
        <v>EHPAD MARENGO JOLIMONT</v>
      </c>
      <c r="C2018" t="s">
        <v>77</v>
      </c>
    </row>
    <row r="2019" spans="1:3" x14ac:dyDescent="0.25">
      <c r="A2019" t="str">
        <f>"310013388"</f>
        <v>310013388</v>
      </c>
      <c r="B2019" t="str">
        <f>"EHPAD LE CLOS DES AMANDIERS"</f>
        <v>EHPAD LE CLOS DES AMANDIERS</v>
      </c>
      <c r="C2019" t="s">
        <v>77</v>
      </c>
    </row>
    <row r="2020" spans="1:3" x14ac:dyDescent="0.25">
      <c r="A2020" t="str">
        <f>"310013438"</f>
        <v>310013438</v>
      </c>
      <c r="B2020" t="str">
        <f>"EHPAD LES FONTENELLES"</f>
        <v>EHPAD LES FONTENELLES</v>
      </c>
      <c r="C2020" t="s">
        <v>77</v>
      </c>
    </row>
    <row r="2021" spans="1:3" x14ac:dyDescent="0.25">
      <c r="A2021" t="str">
        <f>"310013529"</f>
        <v>310013529</v>
      </c>
      <c r="B2021" t="str">
        <f>"EHPAD ARC-EN-CIEL"</f>
        <v>EHPAD ARC-EN-CIEL</v>
      </c>
      <c r="C2021" t="s">
        <v>77</v>
      </c>
    </row>
    <row r="2022" spans="1:3" x14ac:dyDescent="0.25">
      <c r="A2022" t="str">
        <f>"310014618"</f>
        <v>310014618</v>
      </c>
      <c r="B2022" t="str">
        <f>"EHPAD RESIDENCE SAINT JACQUES"</f>
        <v>EHPAD RESIDENCE SAINT JACQUES</v>
      </c>
      <c r="C2022" t="s">
        <v>77</v>
      </c>
    </row>
    <row r="2023" spans="1:3" x14ac:dyDescent="0.25">
      <c r="A2023" t="str">
        <f>"310015219"</f>
        <v>310015219</v>
      </c>
      <c r="B2023" t="str">
        <f>"EHPAD - CENTRE ALZHEIMER M.LOUISE"</f>
        <v>EHPAD - CENTRE ALZHEIMER M.LOUISE</v>
      </c>
      <c r="C2023" t="s">
        <v>77</v>
      </c>
    </row>
    <row r="2024" spans="1:3" x14ac:dyDescent="0.25">
      <c r="A2024" t="str">
        <f>"310016738"</f>
        <v>310016738</v>
      </c>
      <c r="B2024" t="str">
        <f>"EHPAD MAURICE GARRIGOU"</f>
        <v>EHPAD MAURICE GARRIGOU</v>
      </c>
      <c r="C2024" t="s">
        <v>77</v>
      </c>
    </row>
    <row r="2025" spans="1:3" x14ac:dyDescent="0.25">
      <c r="A2025" t="str">
        <f>"310017033"</f>
        <v>310017033</v>
      </c>
      <c r="B2025" t="str">
        <f>"EHPAD L'OREE DE BOUCONNE"</f>
        <v>EHPAD L'OREE DE BOUCONNE</v>
      </c>
      <c r="C2025" t="s">
        <v>77</v>
      </c>
    </row>
    <row r="2026" spans="1:3" x14ac:dyDescent="0.25">
      <c r="A2026" t="str">
        <f>"310017066"</f>
        <v>310017066</v>
      </c>
      <c r="B2026" t="str">
        <f>"EHPAD PLENITUDE ST-MICHEL"</f>
        <v>EHPAD PLENITUDE ST-MICHEL</v>
      </c>
      <c r="C2026" t="s">
        <v>77</v>
      </c>
    </row>
    <row r="2027" spans="1:3" x14ac:dyDescent="0.25">
      <c r="A2027" t="str">
        <f>"310017199"</f>
        <v>310017199</v>
      </c>
      <c r="B2027" t="str">
        <f>"EHPAD LE VILLAGE"</f>
        <v>EHPAD LE VILLAGE</v>
      </c>
      <c r="C2027" t="s">
        <v>77</v>
      </c>
    </row>
    <row r="2028" spans="1:3" x14ac:dyDescent="0.25">
      <c r="A2028" t="str">
        <f>"310018163"</f>
        <v>310018163</v>
      </c>
      <c r="B2028" t="str">
        <f>"EHPAD RESIDENCE MARGUERITE"</f>
        <v>EHPAD RESIDENCE MARGUERITE</v>
      </c>
      <c r="C2028" t="s">
        <v>77</v>
      </c>
    </row>
    <row r="2029" spans="1:3" x14ac:dyDescent="0.25">
      <c r="A2029" t="str">
        <f>"310018734"</f>
        <v>310018734</v>
      </c>
      <c r="B2029" t="str">
        <f>"EHPAD L'ETOILE - HL REVEL"</f>
        <v>EHPAD L'ETOILE - HL REVEL</v>
      </c>
      <c r="C2029" t="s">
        <v>77</v>
      </c>
    </row>
    <row r="2030" spans="1:3" x14ac:dyDescent="0.25">
      <c r="A2030" t="str">
        <f>"310018783"</f>
        <v>310018783</v>
      </c>
      <c r="B2030" t="str">
        <f>"EHPAD MARIE LEHMAN"</f>
        <v>EHPAD MARIE LEHMAN</v>
      </c>
      <c r="C2030" t="s">
        <v>77</v>
      </c>
    </row>
    <row r="2031" spans="1:3" x14ac:dyDescent="0.25">
      <c r="A2031" t="str">
        <f>"310018817"</f>
        <v>310018817</v>
      </c>
      <c r="B2031" t="str">
        <f>"EHPAD DOMAINE DE BORDEROUGE"</f>
        <v>EHPAD DOMAINE DE BORDEROUGE</v>
      </c>
      <c r="C2031" t="s">
        <v>77</v>
      </c>
    </row>
    <row r="2032" spans="1:3" x14ac:dyDescent="0.25">
      <c r="A2032" t="str">
        <f>"310018825"</f>
        <v>310018825</v>
      </c>
      <c r="B2032" t="str">
        <f>"EHPAD SAINT-VIDIAN"</f>
        <v>EHPAD SAINT-VIDIAN</v>
      </c>
      <c r="C2032" t="s">
        <v>77</v>
      </c>
    </row>
    <row r="2033" spans="1:3" x14ac:dyDescent="0.25">
      <c r="A2033" t="str">
        <f>"310018874"</f>
        <v>310018874</v>
      </c>
      <c r="B2033" t="str">
        <f>"PUV NOTRE DAME DE CONSOLATION"</f>
        <v>PUV NOTRE DAME DE CONSOLATION</v>
      </c>
      <c r="C2033" t="s">
        <v>77</v>
      </c>
    </row>
    <row r="2034" spans="1:3" x14ac:dyDescent="0.25">
      <c r="A2034" t="str">
        <f>"310019104"</f>
        <v>310019104</v>
      </c>
      <c r="B2034" t="str">
        <f>"EHPAD KORIAN LA COTE PAVEE"</f>
        <v>EHPAD KORIAN LA COTE PAVEE</v>
      </c>
      <c r="C2034" t="s">
        <v>77</v>
      </c>
    </row>
    <row r="2035" spans="1:3" x14ac:dyDescent="0.25">
      <c r="A2035" t="str">
        <f>"310019120"</f>
        <v>310019120</v>
      </c>
      <c r="B2035" t="str">
        <f>"EHPAD RESIDENCE PAUL ET LISA"</f>
        <v>EHPAD RESIDENCE PAUL ET LISA</v>
      </c>
      <c r="C2035" t="s">
        <v>77</v>
      </c>
    </row>
    <row r="2036" spans="1:3" x14ac:dyDescent="0.25">
      <c r="A2036" t="str">
        <f>"310019385"</f>
        <v>310019385</v>
      </c>
      <c r="B2036" t="str">
        <f>"EHPAD RESIDENCE LA COCAGNE"</f>
        <v>EHPAD RESIDENCE LA COCAGNE</v>
      </c>
      <c r="C2036" t="s">
        <v>77</v>
      </c>
    </row>
    <row r="2037" spans="1:3" x14ac:dyDescent="0.25">
      <c r="A2037" t="str">
        <f>"310019591"</f>
        <v>310019591</v>
      </c>
      <c r="B2037" t="str">
        <f>"EHPAD LES MINIMES"</f>
        <v>EHPAD LES MINIMES</v>
      </c>
      <c r="C2037" t="s">
        <v>77</v>
      </c>
    </row>
    <row r="2038" spans="1:3" x14ac:dyDescent="0.25">
      <c r="A2038" t="str">
        <f>"310020268"</f>
        <v>310020268</v>
      </c>
      <c r="B2038" t="str">
        <f>"EHPAD VAL D'ARIZE"</f>
        <v>EHPAD VAL D'ARIZE</v>
      </c>
      <c r="C2038" t="s">
        <v>77</v>
      </c>
    </row>
    <row r="2039" spans="1:3" x14ac:dyDescent="0.25">
      <c r="A2039" t="str">
        <f>"310020284"</f>
        <v>310020284</v>
      </c>
      <c r="B2039" t="str">
        <f>"EHPAD RESIDENCE SENIOR TIBAOUS"</f>
        <v>EHPAD RESIDENCE SENIOR TIBAOUS</v>
      </c>
      <c r="C2039" t="s">
        <v>77</v>
      </c>
    </row>
    <row r="2040" spans="1:3" x14ac:dyDescent="0.25">
      <c r="A2040" t="str">
        <f>"310020300"</f>
        <v>310020300</v>
      </c>
      <c r="B2040" t="str">
        <f>"EHPAD VITALITE SERENITE"</f>
        <v>EHPAD VITALITE SERENITE</v>
      </c>
      <c r="C2040" t="s">
        <v>77</v>
      </c>
    </row>
    <row r="2041" spans="1:3" x14ac:dyDescent="0.25">
      <c r="A2041" t="str">
        <f>"310020797"</f>
        <v>310020797</v>
      </c>
      <c r="B2041" t="str">
        <f>"EHPAD LA BASTIDE"</f>
        <v>EHPAD LA BASTIDE</v>
      </c>
      <c r="C2041" t="s">
        <v>77</v>
      </c>
    </row>
    <row r="2042" spans="1:3" x14ac:dyDescent="0.25">
      <c r="A2042" t="str">
        <f>"310020805"</f>
        <v>310020805</v>
      </c>
      <c r="B2042" t="str">
        <f>"EHPAD L'EDELWEISS"</f>
        <v>EHPAD L'EDELWEISS</v>
      </c>
      <c r="C2042" t="s">
        <v>77</v>
      </c>
    </row>
    <row r="2043" spans="1:3" x14ac:dyDescent="0.25">
      <c r="A2043" t="str">
        <f>"310021423"</f>
        <v>310021423</v>
      </c>
      <c r="B2043" t="str">
        <f>"EHPAD RESIDENCE TOLOSA"</f>
        <v>EHPAD RESIDENCE TOLOSA</v>
      </c>
      <c r="C2043" t="s">
        <v>77</v>
      </c>
    </row>
    <row r="2044" spans="1:3" x14ac:dyDescent="0.25">
      <c r="A2044" t="str">
        <f>"310021449"</f>
        <v>310021449</v>
      </c>
      <c r="B2044" t="str">
        <f>"EHPAD RESIDENCE ISATIS"</f>
        <v>EHPAD RESIDENCE ISATIS</v>
      </c>
      <c r="C2044" t="s">
        <v>77</v>
      </c>
    </row>
    <row r="2045" spans="1:3" x14ac:dyDescent="0.25">
      <c r="A2045" t="str">
        <f>"310021456"</f>
        <v>310021456</v>
      </c>
      <c r="B2045" t="str">
        <f>"EHPAD MBV-BELLAGARDEL"</f>
        <v>EHPAD MBV-BELLAGARDEL</v>
      </c>
      <c r="C2045" t="s">
        <v>77</v>
      </c>
    </row>
    <row r="2046" spans="1:3" x14ac:dyDescent="0.25">
      <c r="A2046" t="str">
        <f>"310021464"</f>
        <v>310021464</v>
      </c>
      <c r="B2046" t="str">
        <f>"EHPAD LA VENDINELLE"</f>
        <v>EHPAD LA VENDINELLE</v>
      </c>
      <c r="C2046" t="s">
        <v>77</v>
      </c>
    </row>
    <row r="2047" spans="1:3" x14ac:dyDescent="0.25">
      <c r="A2047" t="str">
        <f>"310022223"</f>
        <v>310022223</v>
      </c>
      <c r="B2047" t="str">
        <f>"EHPAD NOELIE SECAIL"</f>
        <v>EHPAD NOELIE SECAIL</v>
      </c>
      <c r="C2047" t="s">
        <v>77</v>
      </c>
    </row>
    <row r="2048" spans="1:3" x14ac:dyDescent="0.25">
      <c r="A2048" t="str">
        <f>"310022884"</f>
        <v>310022884</v>
      </c>
      <c r="B2048" t="str">
        <f>"EHPAD KORIAN COTEAUX DE LA LEZE"</f>
        <v>EHPAD KORIAN COTEAUX DE LA LEZE</v>
      </c>
      <c r="C2048" t="s">
        <v>77</v>
      </c>
    </row>
    <row r="2049" spans="1:3" x14ac:dyDescent="0.25">
      <c r="A2049" t="str">
        <f>"310023064"</f>
        <v>310023064</v>
      </c>
      <c r="B2049" t="str">
        <f>"EHPAD RESIDENCE NOUVELLE ORLEANS"</f>
        <v>EHPAD RESIDENCE NOUVELLE ORLEANS</v>
      </c>
      <c r="C2049" t="s">
        <v>77</v>
      </c>
    </row>
    <row r="2050" spans="1:3" x14ac:dyDescent="0.25">
      <c r="A2050" t="str">
        <f>"310780846"</f>
        <v>310780846</v>
      </c>
      <c r="B2050" t="str">
        <f>"EHPAD FAUX BOURG ST ADRIEN"</f>
        <v>EHPAD FAUX BOURG ST ADRIEN</v>
      </c>
      <c r="C2050" t="s">
        <v>77</v>
      </c>
    </row>
    <row r="2051" spans="1:3" x14ac:dyDescent="0.25">
      <c r="A2051" t="str">
        <f>"310781752"</f>
        <v>310781752</v>
      </c>
      <c r="B2051" t="str">
        <f>"CTRE HEB. TEMP. OLIVIER"</f>
        <v>CTRE HEB. TEMP. OLIVIER</v>
      </c>
      <c r="C2051" t="s">
        <v>77</v>
      </c>
    </row>
    <row r="2052" spans="1:3" x14ac:dyDescent="0.25">
      <c r="A2052" t="str">
        <f>"310782107"</f>
        <v>310782107</v>
      </c>
      <c r="B2052" t="str">
        <f>"EHPAD MARIUS PRUDHOM"</f>
        <v>EHPAD MARIUS PRUDHOM</v>
      </c>
      <c r="C2052" t="s">
        <v>77</v>
      </c>
    </row>
    <row r="2053" spans="1:3" x14ac:dyDescent="0.25">
      <c r="A2053" t="str">
        <f>"310782115"</f>
        <v>310782115</v>
      </c>
      <c r="B2053" t="str">
        <f>"EHPAD CECILE BOUSQUET"</f>
        <v>EHPAD CECILE BOUSQUET</v>
      </c>
      <c r="C2053" t="s">
        <v>77</v>
      </c>
    </row>
    <row r="2054" spans="1:3" x14ac:dyDescent="0.25">
      <c r="A2054" t="str">
        <f>"310782123"</f>
        <v>310782123</v>
      </c>
      <c r="B2054" t="str">
        <f>"EHPAD ELVIRE GAY"</f>
        <v>EHPAD ELVIRE GAY</v>
      </c>
      <c r="C2054" t="s">
        <v>77</v>
      </c>
    </row>
    <row r="2055" spans="1:3" x14ac:dyDescent="0.25">
      <c r="A2055" t="str">
        <f>"310782131"</f>
        <v>310782131</v>
      </c>
      <c r="B2055" t="str">
        <f>"EHPAD RESIDENCE JALLIER"</f>
        <v>EHPAD RESIDENCE JALLIER</v>
      </c>
      <c r="C2055" t="s">
        <v>77</v>
      </c>
    </row>
    <row r="2056" spans="1:3" x14ac:dyDescent="0.25">
      <c r="A2056" t="str">
        <f>"310782149"</f>
        <v>310782149</v>
      </c>
      <c r="B2056" t="str">
        <f>"EHPAD JEANNE PENENT"</f>
        <v>EHPAD JEANNE PENENT</v>
      </c>
      <c r="C2056" t="s">
        <v>77</v>
      </c>
    </row>
    <row r="2057" spans="1:3" x14ac:dyDescent="0.25">
      <c r="A2057" t="str">
        <f>"310782156"</f>
        <v>310782156</v>
      </c>
      <c r="B2057" t="str">
        <f>"EHPAD SAINT-JACQUES"</f>
        <v>EHPAD SAINT-JACQUES</v>
      </c>
      <c r="C2057" t="s">
        <v>77</v>
      </c>
    </row>
    <row r="2058" spans="1:3" x14ac:dyDescent="0.25">
      <c r="A2058" t="str">
        <f>"310782164"</f>
        <v>310782164</v>
      </c>
      <c r="B2058" t="str">
        <f>"EHPAD LE CASTELET"</f>
        <v>EHPAD LE CASTELET</v>
      </c>
      <c r="C2058" t="s">
        <v>77</v>
      </c>
    </row>
    <row r="2059" spans="1:3" x14ac:dyDescent="0.25">
      <c r="A2059" t="str">
        <f>"310782172"</f>
        <v>310782172</v>
      </c>
      <c r="B2059" t="str">
        <f>"EHPAD AUGUSTIN LABOUILHE"</f>
        <v>EHPAD AUGUSTIN LABOUILHE</v>
      </c>
      <c r="C2059" t="s">
        <v>77</v>
      </c>
    </row>
    <row r="2060" spans="1:3" x14ac:dyDescent="0.25">
      <c r="A2060" t="str">
        <f>"310782198"</f>
        <v>310782198</v>
      </c>
      <c r="B2060" t="str">
        <f>"EHPAD LE REPOS"</f>
        <v>EHPAD LE REPOS</v>
      </c>
      <c r="C2060" t="s">
        <v>77</v>
      </c>
    </row>
    <row r="2061" spans="1:3" x14ac:dyDescent="0.25">
      <c r="A2061" t="str">
        <f>"310782206"</f>
        <v>310782206</v>
      </c>
      <c r="B2061" t="str">
        <f>"EHPAD ANTOINE DE SAINT EXUPERY"</f>
        <v>EHPAD ANTOINE DE SAINT EXUPERY</v>
      </c>
      <c r="C2061" t="s">
        <v>77</v>
      </c>
    </row>
    <row r="2062" spans="1:3" x14ac:dyDescent="0.25">
      <c r="A2062" t="str">
        <f>"310782214"</f>
        <v>310782214</v>
      </c>
      <c r="B2062" t="str">
        <f>"EHPAD DOCTEUR MARIE"</f>
        <v>EHPAD DOCTEUR MARIE</v>
      </c>
      <c r="C2062" t="s">
        <v>77</v>
      </c>
    </row>
    <row r="2063" spans="1:3" x14ac:dyDescent="0.25">
      <c r="A2063" t="str">
        <f>"310782222"</f>
        <v>310782222</v>
      </c>
      <c r="B2063" t="str">
        <f>"EHPAD PIERRE DUCIS"</f>
        <v>EHPAD PIERRE DUCIS</v>
      </c>
      <c r="C2063" t="s">
        <v>77</v>
      </c>
    </row>
    <row r="2064" spans="1:3" x14ac:dyDescent="0.25">
      <c r="A2064" t="str">
        <f>"310782230"</f>
        <v>310782230</v>
      </c>
      <c r="B2064" t="str">
        <f>"EHPAD SAINT-JACQUES"</f>
        <v>EHPAD SAINT-JACQUES</v>
      </c>
      <c r="C2064" t="s">
        <v>77</v>
      </c>
    </row>
    <row r="2065" spans="1:3" x14ac:dyDescent="0.25">
      <c r="A2065" t="str">
        <f>"310782263"</f>
        <v>310782263</v>
      </c>
      <c r="B2065" t="str">
        <f>"EHPAD GENEVRIERS"</f>
        <v>EHPAD GENEVRIERS</v>
      </c>
      <c r="C2065" t="s">
        <v>77</v>
      </c>
    </row>
    <row r="2066" spans="1:3" x14ac:dyDescent="0.25">
      <c r="A2066" t="str">
        <f>"310782461"</f>
        <v>310782461</v>
      </c>
      <c r="B2066" t="str">
        <f>"DOMAINE DU VALIER"</f>
        <v>DOMAINE DU VALIER</v>
      </c>
      <c r="C2066" t="s">
        <v>77</v>
      </c>
    </row>
    <row r="2067" spans="1:3" x14ac:dyDescent="0.25">
      <c r="A2067" t="str">
        <f>"310782495"</f>
        <v>310782495</v>
      </c>
      <c r="B2067" t="str">
        <f>"EHPAD L'HERMITAGE"</f>
        <v>EHPAD L'HERMITAGE</v>
      </c>
      <c r="C2067" t="s">
        <v>77</v>
      </c>
    </row>
    <row r="2068" spans="1:3" x14ac:dyDescent="0.25">
      <c r="A2068" t="str">
        <f>"310784194"</f>
        <v>310784194</v>
      </c>
      <c r="B2068" t="str">
        <f>"EHPAD SAINT-JOSEPH"</f>
        <v>EHPAD SAINT-JOSEPH</v>
      </c>
      <c r="C2068" t="s">
        <v>77</v>
      </c>
    </row>
    <row r="2069" spans="1:3" x14ac:dyDescent="0.25">
      <c r="A2069" t="str">
        <f>"310784202"</f>
        <v>310784202</v>
      </c>
      <c r="B2069" t="str">
        <f>"EHPAD SAINT JOSEPH"</f>
        <v>EHPAD SAINT JOSEPH</v>
      </c>
      <c r="C2069" t="s">
        <v>77</v>
      </c>
    </row>
    <row r="2070" spans="1:3" x14ac:dyDescent="0.25">
      <c r="A2070" t="str">
        <f>"310784244"</f>
        <v>310784244</v>
      </c>
      <c r="B2070" t="str">
        <f>"EHPAD ATHENA"</f>
        <v>EHPAD ATHENA</v>
      </c>
      <c r="C2070" t="s">
        <v>77</v>
      </c>
    </row>
    <row r="2071" spans="1:3" x14ac:dyDescent="0.25">
      <c r="A2071" t="str">
        <f>"310784251"</f>
        <v>310784251</v>
      </c>
      <c r="B2071" t="str">
        <f>"EHPAD BELLES RIVES"</f>
        <v>EHPAD BELLES RIVES</v>
      </c>
      <c r="C2071" t="s">
        <v>77</v>
      </c>
    </row>
    <row r="2072" spans="1:3" x14ac:dyDescent="0.25">
      <c r="A2072" t="str">
        <f>"310784277"</f>
        <v>310784277</v>
      </c>
      <c r="B2072" t="str">
        <f>"EHPAD RESIDENCE LA JOIE DE VIVRE"</f>
        <v>EHPAD RESIDENCE LA JOIE DE VIVRE</v>
      </c>
      <c r="C2072" t="s">
        <v>77</v>
      </c>
    </row>
    <row r="2073" spans="1:3" x14ac:dyDescent="0.25">
      <c r="A2073" t="str">
        <f>"310784293"</f>
        <v>310784293</v>
      </c>
      <c r="B2073" t="str">
        <f>"EHPAD RESIDENCE LES ROSSIGNOLS"</f>
        <v>EHPAD RESIDENCE LES ROSSIGNOLS</v>
      </c>
      <c r="C2073" t="s">
        <v>77</v>
      </c>
    </row>
    <row r="2074" spans="1:3" x14ac:dyDescent="0.25">
      <c r="A2074" t="str">
        <f>"310784301"</f>
        <v>310784301</v>
      </c>
      <c r="B2074" t="str">
        <f>"EHPAD MARECHAL LECLERC"</f>
        <v>EHPAD MARECHAL LECLERC</v>
      </c>
      <c r="C2074" t="s">
        <v>77</v>
      </c>
    </row>
    <row r="2075" spans="1:3" x14ac:dyDescent="0.25">
      <c r="A2075" t="str">
        <f>"310784319"</f>
        <v>310784319</v>
      </c>
      <c r="B2075" t="str">
        <f>"EHPAD L'HORIZON"</f>
        <v>EHPAD L'HORIZON</v>
      </c>
      <c r="C2075" t="s">
        <v>77</v>
      </c>
    </row>
    <row r="2076" spans="1:3" x14ac:dyDescent="0.25">
      <c r="A2076" t="str">
        <f>"310784327"</f>
        <v>310784327</v>
      </c>
      <c r="B2076" t="str">
        <f>"EHPAD OCCITANIE"</f>
        <v>EHPAD OCCITANIE</v>
      </c>
      <c r="C2076" t="s">
        <v>77</v>
      </c>
    </row>
    <row r="2077" spans="1:3" x14ac:dyDescent="0.25">
      <c r="A2077" t="str">
        <f>"310784335"</f>
        <v>310784335</v>
      </c>
      <c r="B2077" t="str">
        <f>"EHPAD RESIDENCE CURTIS"</f>
        <v>EHPAD RESIDENCE CURTIS</v>
      </c>
      <c r="C2077" t="s">
        <v>77</v>
      </c>
    </row>
    <row r="2078" spans="1:3" x14ac:dyDescent="0.25">
      <c r="A2078" t="str">
        <f>"310784343"</f>
        <v>310784343</v>
      </c>
      <c r="B2078" t="str">
        <f>"EHPAD RESIDENCE TIERS TEMPS"</f>
        <v>EHPAD RESIDENCE TIERS TEMPS</v>
      </c>
      <c r="C2078" t="s">
        <v>77</v>
      </c>
    </row>
    <row r="2079" spans="1:3" x14ac:dyDescent="0.25">
      <c r="A2079" t="str">
        <f>"310784350"</f>
        <v>310784350</v>
      </c>
      <c r="B2079" t="str">
        <f>"EHPAD RESIDENCE GENERAL PAUL ODDO"</f>
        <v>EHPAD RESIDENCE GENERAL PAUL ODDO</v>
      </c>
      <c r="C2079" t="s">
        <v>77</v>
      </c>
    </row>
    <row r="2080" spans="1:3" x14ac:dyDescent="0.25">
      <c r="A2080" t="str">
        <f>"310784368"</f>
        <v>310784368</v>
      </c>
      <c r="B2080" t="str">
        <f>"EHPAD LES JARDINS D'OLY"</f>
        <v>EHPAD LES JARDINS D'OLY</v>
      </c>
      <c r="C2080" t="s">
        <v>77</v>
      </c>
    </row>
    <row r="2081" spans="1:3" x14ac:dyDescent="0.25">
      <c r="A2081" t="str">
        <f>"310784384"</f>
        <v>310784384</v>
      </c>
      <c r="B2081" t="str">
        <f>"EHPAD LES 13 VENTS"</f>
        <v>EHPAD LES 13 VENTS</v>
      </c>
      <c r="C2081" t="s">
        <v>77</v>
      </c>
    </row>
    <row r="2082" spans="1:3" x14ac:dyDescent="0.25">
      <c r="A2082" t="str">
        <f>"310784400"</f>
        <v>310784400</v>
      </c>
      <c r="B2082" t="str">
        <f>"EHPAD SAINT VINCENT DE PAUL"</f>
        <v>EHPAD SAINT VINCENT DE PAUL</v>
      </c>
      <c r="C2082" t="s">
        <v>77</v>
      </c>
    </row>
    <row r="2083" spans="1:3" x14ac:dyDescent="0.25">
      <c r="A2083" t="str">
        <f>"310784418"</f>
        <v>310784418</v>
      </c>
      <c r="B2083" t="str">
        <f>"EHPAD LES ROSES (SAS)"</f>
        <v>EHPAD LES ROSES (SAS)</v>
      </c>
      <c r="C2083" t="s">
        <v>77</v>
      </c>
    </row>
    <row r="2084" spans="1:3" x14ac:dyDescent="0.25">
      <c r="A2084" t="str">
        <f>"310784426"</f>
        <v>310784426</v>
      </c>
      <c r="B2084" t="str">
        <f>"EHPAD NOTRE-DAME DU BON ACCUEIL"</f>
        <v>EHPAD NOTRE-DAME DU BON ACCUEIL</v>
      </c>
      <c r="C2084" t="s">
        <v>77</v>
      </c>
    </row>
    <row r="2085" spans="1:3" x14ac:dyDescent="0.25">
      <c r="A2085" t="str">
        <f>"310784434"</f>
        <v>310784434</v>
      </c>
      <c r="B2085" t="str">
        <f>"EHPAD CASTEL GIROU"</f>
        <v>EHPAD CASTEL GIROU</v>
      </c>
      <c r="C2085" t="s">
        <v>77</v>
      </c>
    </row>
    <row r="2086" spans="1:3" x14ac:dyDescent="0.25">
      <c r="A2086" t="str">
        <f>"310784467"</f>
        <v>310784467</v>
      </c>
      <c r="B2086" t="str">
        <f>"EHPAD KORIAN LA SEILLONNE"</f>
        <v>EHPAD KORIAN LA SEILLONNE</v>
      </c>
      <c r="C2086" t="s">
        <v>77</v>
      </c>
    </row>
    <row r="2087" spans="1:3" x14ac:dyDescent="0.25">
      <c r="A2087" t="str">
        <f>"310784475"</f>
        <v>310784475</v>
      </c>
      <c r="B2087" t="str">
        <f>"EHPAD CAROLINE BARON"</f>
        <v>EHPAD CAROLINE BARON</v>
      </c>
      <c r="C2087" t="s">
        <v>77</v>
      </c>
    </row>
    <row r="2088" spans="1:3" x14ac:dyDescent="0.25">
      <c r="A2088" t="str">
        <f>"310784483"</f>
        <v>310784483</v>
      </c>
      <c r="B2088" t="str">
        <f>"EHPAD MA MAISON"</f>
        <v>EHPAD MA MAISON</v>
      </c>
      <c r="C2088" t="s">
        <v>77</v>
      </c>
    </row>
    <row r="2089" spans="1:3" x14ac:dyDescent="0.25">
      <c r="A2089" t="str">
        <f>"310784491"</f>
        <v>310784491</v>
      </c>
      <c r="B2089" t="str">
        <f>"EHPAD DOMAINE DE LA CADENE"</f>
        <v>EHPAD DOMAINE DE LA CADENE</v>
      </c>
      <c r="C2089" t="s">
        <v>77</v>
      </c>
    </row>
    <row r="2090" spans="1:3" x14ac:dyDescent="0.25">
      <c r="A2090" t="str">
        <f>"310784525"</f>
        <v>310784525</v>
      </c>
      <c r="B2090" t="str">
        <f>"EHPAD L'ESPERANCE"</f>
        <v>EHPAD L'ESPERANCE</v>
      </c>
      <c r="C2090" t="s">
        <v>77</v>
      </c>
    </row>
    <row r="2091" spans="1:3" x14ac:dyDescent="0.25">
      <c r="A2091" t="str">
        <f>"310784566"</f>
        <v>310784566</v>
      </c>
      <c r="B2091" t="str">
        <f>"EHPAD RESIDENCE ORPEA CRAMPEL"</f>
        <v>EHPAD RESIDENCE ORPEA CRAMPEL</v>
      </c>
      <c r="C2091" t="s">
        <v>77</v>
      </c>
    </row>
    <row r="2092" spans="1:3" x14ac:dyDescent="0.25">
      <c r="A2092" t="str">
        <f>"310784574"</f>
        <v>310784574</v>
      </c>
      <c r="B2092" t="str">
        <f>"EHPAD LA THESAUQUE"</f>
        <v>EHPAD LA THESAUQUE</v>
      </c>
      <c r="C2092" t="s">
        <v>77</v>
      </c>
    </row>
    <row r="2093" spans="1:3" x14ac:dyDescent="0.25">
      <c r="A2093" t="str">
        <f>"310784699"</f>
        <v>310784699</v>
      </c>
      <c r="B2093" t="str">
        <f>"EHPAD RESIDENCE LE PIN"</f>
        <v>EHPAD RESIDENCE LE PIN</v>
      </c>
      <c r="C2093" t="s">
        <v>77</v>
      </c>
    </row>
    <row r="2094" spans="1:3" x14ac:dyDescent="0.25">
      <c r="A2094" t="str">
        <f>"310784715"</f>
        <v>310784715</v>
      </c>
      <c r="B2094" t="str">
        <f>"EHPAD LES JONQUILLES"</f>
        <v>EHPAD LES JONQUILLES</v>
      </c>
      <c r="C2094" t="s">
        <v>77</v>
      </c>
    </row>
    <row r="2095" spans="1:3" x14ac:dyDescent="0.25">
      <c r="A2095" t="str">
        <f>"310784723"</f>
        <v>310784723</v>
      </c>
      <c r="B2095" t="str">
        <f>"EHPAD RESIDENCE MAS ST PIERRE"</f>
        <v>EHPAD RESIDENCE MAS ST PIERRE</v>
      </c>
      <c r="C2095" t="s">
        <v>77</v>
      </c>
    </row>
    <row r="2096" spans="1:3" x14ac:dyDescent="0.25">
      <c r="A2096" t="str">
        <f>"310784756"</f>
        <v>310784756</v>
      </c>
      <c r="B2096" t="str">
        <f>"EHPAD RESIDENCE MARIE-ANTOINETTE"</f>
        <v>EHPAD RESIDENCE MARIE-ANTOINETTE</v>
      </c>
      <c r="C2096" t="s">
        <v>77</v>
      </c>
    </row>
    <row r="2097" spans="1:3" x14ac:dyDescent="0.25">
      <c r="A2097" t="str">
        <f>"310784764"</f>
        <v>310784764</v>
      </c>
      <c r="B2097" t="str">
        <f>"EHPAD LE COULOUME"</f>
        <v>EHPAD LE COULOUME</v>
      </c>
      <c r="C2097" t="s">
        <v>77</v>
      </c>
    </row>
    <row r="2098" spans="1:3" x14ac:dyDescent="0.25">
      <c r="A2098" t="str">
        <f>"310784780"</f>
        <v>310784780</v>
      </c>
      <c r="B2098" t="str">
        <f>"EHPAD RESIDENCE EMERAUDE-ANNE LAFFONT"</f>
        <v>EHPAD RESIDENCE EMERAUDE-ANNE LAFFONT</v>
      </c>
      <c r="C2098" t="s">
        <v>77</v>
      </c>
    </row>
    <row r="2099" spans="1:3" x14ac:dyDescent="0.25">
      <c r="A2099" t="str">
        <f>"310784798"</f>
        <v>310784798</v>
      </c>
      <c r="B2099" t="str">
        <f>"EHPAD FRANCOISE DE VEYRINAS"</f>
        <v>EHPAD FRANCOISE DE VEYRINAS</v>
      </c>
      <c r="C2099" t="s">
        <v>77</v>
      </c>
    </row>
    <row r="2100" spans="1:3" x14ac:dyDescent="0.25">
      <c r="A2100" t="str">
        <f>"310784806"</f>
        <v>310784806</v>
      </c>
      <c r="B2100" t="str">
        <f>"EHPAD LOUIS DOUSTE-BLAZY"</f>
        <v>EHPAD LOUIS DOUSTE-BLAZY</v>
      </c>
      <c r="C2100" t="s">
        <v>77</v>
      </c>
    </row>
    <row r="2101" spans="1:3" x14ac:dyDescent="0.25">
      <c r="A2101" t="str">
        <f>"310784822"</f>
        <v>310784822</v>
      </c>
      <c r="B2101" t="str">
        <f>"EHPAD  GAUBERT"</f>
        <v>EHPAD  GAUBERT</v>
      </c>
      <c r="C2101" t="s">
        <v>77</v>
      </c>
    </row>
    <row r="2102" spans="1:3" x14ac:dyDescent="0.25">
      <c r="A2102" t="str">
        <f>"310785308"</f>
        <v>310785308</v>
      </c>
      <c r="B2102" t="str">
        <f>"EHPAD LES JARDINS DE MANIBAN"</f>
        <v>EHPAD LES JARDINS DE MANIBAN</v>
      </c>
      <c r="C2102" t="s">
        <v>77</v>
      </c>
    </row>
    <row r="2103" spans="1:3" x14ac:dyDescent="0.25">
      <c r="A2103" t="str">
        <f>"310785316"</f>
        <v>310785316</v>
      </c>
      <c r="B2103" t="str">
        <f>"EHPAD L'ENSOLEILLADE"</f>
        <v>EHPAD L'ENSOLEILLADE</v>
      </c>
      <c r="C2103" t="s">
        <v>77</v>
      </c>
    </row>
    <row r="2104" spans="1:3" x14ac:dyDescent="0.25">
      <c r="A2104" t="str">
        <f>"310785332"</f>
        <v>310785332</v>
      </c>
      <c r="B2104" t="str">
        <f>"EHPAD ERA CASO"</f>
        <v>EHPAD ERA CASO</v>
      </c>
      <c r="C2104" t="s">
        <v>77</v>
      </c>
    </row>
    <row r="2105" spans="1:3" x14ac:dyDescent="0.25">
      <c r="A2105" t="str">
        <f>"310785340"</f>
        <v>310785340</v>
      </c>
      <c r="B2105" t="str">
        <f>"EHPAD LE PRAT"</f>
        <v>EHPAD LE PRAT</v>
      </c>
      <c r="C2105" t="s">
        <v>77</v>
      </c>
    </row>
    <row r="2106" spans="1:3" x14ac:dyDescent="0.25">
      <c r="A2106" t="str">
        <f>"310785399"</f>
        <v>310785399</v>
      </c>
      <c r="B2106" t="str">
        <f>"EHPAD LES FONTAINES"</f>
        <v>EHPAD LES FONTAINES</v>
      </c>
      <c r="C2106" t="s">
        <v>77</v>
      </c>
    </row>
    <row r="2107" spans="1:3" x14ac:dyDescent="0.25">
      <c r="A2107" t="str">
        <f>"310786298"</f>
        <v>310786298</v>
      </c>
      <c r="B2107" t="str">
        <f>"EHPAD LE PASTOUREL"</f>
        <v>EHPAD LE PASTOUREL</v>
      </c>
      <c r="C2107" t="s">
        <v>77</v>
      </c>
    </row>
    <row r="2108" spans="1:3" x14ac:dyDescent="0.25">
      <c r="A2108" t="str">
        <f>"310786595"</f>
        <v>310786595</v>
      </c>
      <c r="B2108" t="str">
        <f>"EHPAD LE CLOS D'EUGENIE"</f>
        <v>EHPAD LE CLOS D'EUGENIE</v>
      </c>
      <c r="C2108" t="s">
        <v>77</v>
      </c>
    </row>
    <row r="2109" spans="1:3" x14ac:dyDescent="0.25">
      <c r="A2109" t="str">
        <f>"310786645"</f>
        <v>310786645</v>
      </c>
      <c r="B2109" t="str">
        <f>"EHPAD LA TRANQUILLITE"</f>
        <v>EHPAD LA TRANQUILLITE</v>
      </c>
      <c r="C2109" t="s">
        <v>77</v>
      </c>
    </row>
    <row r="2110" spans="1:3" x14ac:dyDescent="0.25">
      <c r="A2110" t="str">
        <f>"310788021"</f>
        <v>310788021</v>
      </c>
      <c r="B2110" t="str">
        <f>"EHPAD GABRIEL ROUY"</f>
        <v>EHPAD GABRIEL ROUY</v>
      </c>
      <c r="C2110" t="s">
        <v>77</v>
      </c>
    </row>
    <row r="2111" spans="1:3" x14ac:dyDescent="0.25">
      <c r="A2111" t="str">
        <f>"310788633"</f>
        <v>310788633</v>
      </c>
      <c r="B2111" t="str">
        <f>"EHPAD TOUR TOTTIER"</f>
        <v>EHPAD TOUR TOTTIER</v>
      </c>
      <c r="C2111" t="s">
        <v>77</v>
      </c>
    </row>
    <row r="2112" spans="1:3" x14ac:dyDescent="0.25">
      <c r="A2112" t="str">
        <f>"310788658"</f>
        <v>310788658</v>
      </c>
      <c r="B2112" t="str">
        <f>"EHPAD MONT-ROYAL"</f>
        <v>EHPAD MONT-ROYAL</v>
      </c>
      <c r="C2112" t="s">
        <v>77</v>
      </c>
    </row>
    <row r="2113" spans="1:3" x14ac:dyDescent="0.25">
      <c r="A2113" t="str">
        <f>"310790050"</f>
        <v>310790050</v>
      </c>
      <c r="B2113" t="str">
        <f>"EHPAD L'AUTA"</f>
        <v>EHPAD L'AUTA</v>
      </c>
      <c r="C2113" t="s">
        <v>77</v>
      </c>
    </row>
    <row r="2114" spans="1:3" x14ac:dyDescent="0.25">
      <c r="A2114" t="str">
        <f>"310790431"</f>
        <v>310790431</v>
      </c>
      <c r="B2114" t="str">
        <f>"EHPAD ROQUEFORT - HL REVEL"</f>
        <v>EHPAD ROQUEFORT - HL REVEL</v>
      </c>
      <c r="C2114" t="s">
        <v>77</v>
      </c>
    </row>
    <row r="2115" spans="1:3" x14ac:dyDescent="0.25">
      <c r="A2115" t="str">
        <f>"310790522"</f>
        <v>310790522</v>
      </c>
      <c r="B2115" t="str">
        <f>"EHPAD BASTIDE MEDICIS"</f>
        <v>EHPAD BASTIDE MEDICIS</v>
      </c>
      <c r="C2115" t="s">
        <v>77</v>
      </c>
    </row>
    <row r="2116" spans="1:3" x14ac:dyDescent="0.25">
      <c r="A2116" t="str">
        <f>"310790621"</f>
        <v>310790621</v>
      </c>
      <c r="B2116" t="str">
        <f>"EHPAD LA CERISAIE"</f>
        <v>EHPAD LA CERISAIE</v>
      </c>
      <c r="C2116" t="s">
        <v>77</v>
      </c>
    </row>
    <row r="2117" spans="1:3" x14ac:dyDescent="0.25">
      <c r="A2117" t="str">
        <f>"310791405"</f>
        <v>310791405</v>
      </c>
      <c r="B2117" t="str">
        <f>"EHPAD MAISONNEUVE"</f>
        <v>EHPAD MAISONNEUVE</v>
      </c>
      <c r="C2117" t="s">
        <v>77</v>
      </c>
    </row>
    <row r="2118" spans="1:3" x14ac:dyDescent="0.25">
      <c r="A2118" t="str">
        <f>"310791421"</f>
        <v>310791421</v>
      </c>
      <c r="B2118" t="str">
        <f>"EHPAD LA HOULETTE"</f>
        <v>EHPAD LA HOULETTE</v>
      </c>
      <c r="C2118" t="s">
        <v>77</v>
      </c>
    </row>
    <row r="2119" spans="1:3" x14ac:dyDescent="0.25">
      <c r="A2119" t="str">
        <f>"310791546"</f>
        <v>310791546</v>
      </c>
      <c r="B2119" t="str">
        <f>"EHPAD RESIDENCE LES TROIS FONTAINES"</f>
        <v>EHPAD RESIDENCE LES TROIS FONTAINES</v>
      </c>
      <c r="C2119" t="s">
        <v>77</v>
      </c>
    </row>
    <row r="2120" spans="1:3" x14ac:dyDescent="0.25">
      <c r="A2120" t="str">
        <f>"310792015"</f>
        <v>310792015</v>
      </c>
      <c r="B2120" t="str">
        <f>"EHPAD LES TILLEULS"</f>
        <v>EHPAD LES TILLEULS</v>
      </c>
      <c r="C2120" t="s">
        <v>77</v>
      </c>
    </row>
    <row r="2121" spans="1:3" x14ac:dyDescent="0.25">
      <c r="A2121" t="str">
        <f>"310792031"</f>
        <v>310792031</v>
      </c>
      <c r="B2121" t="str">
        <f>"EHPAD LA TRIADE"</f>
        <v>EHPAD LA TRIADE</v>
      </c>
      <c r="C2121" t="s">
        <v>77</v>
      </c>
    </row>
    <row r="2122" spans="1:3" x14ac:dyDescent="0.25">
      <c r="A2122" t="str">
        <f>"310792064"</f>
        <v>310792064</v>
      </c>
      <c r="B2122" t="str">
        <f>"EHPAD RESIDENCE DE VINCI"</f>
        <v>EHPAD RESIDENCE DE VINCI</v>
      </c>
      <c r="C2122" t="s">
        <v>77</v>
      </c>
    </row>
    <row r="2123" spans="1:3" x14ac:dyDescent="0.25">
      <c r="A2123" t="str">
        <f>"310792130"</f>
        <v>310792130</v>
      </c>
      <c r="B2123" t="str">
        <f>"EHPAD KORIAN VILLA LAURAGAIS"</f>
        <v>EHPAD KORIAN VILLA LAURAGAIS</v>
      </c>
      <c r="C2123" t="s">
        <v>77</v>
      </c>
    </row>
    <row r="2124" spans="1:3" x14ac:dyDescent="0.25">
      <c r="A2124" t="str">
        <f>"310792148"</f>
        <v>310792148</v>
      </c>
      <c r="B2124" t="str">
        <f>"EHPAD LE PASTEL"</f>
        <v>EHPAD LE PASTEL</v>
      </c>
      <c r="C2124" t="s">
        <v>77</v>
      </c>
    </row>
    <row r="2125" spans="1:3" x14ac:dyDescent="0.25">
      <c r="A2125" t="str">
        <f>"310792155"</f>
        <v>310792155</v>
      </c>
      <c r="B2125" t="str">
        <f>"EHPAD L'ACACIA"</f>
        <v>EHPAD L'ACACIA</v>
      </c>
      <c r="C2125" t="s">
        <v>77</v>
      </c>
    </row>
    <row r="2126" spans="1:3" x14ac:dyDescent="0.25">
      <c r="A2126" t="str">
        <f>"310792353"</f>
        <v>310792353</v>
      </c>
      <c r="B2126" t="str">
        <f>"EHPAD ORELIA SITE ST PLANCARD"</f>
        <v>EHPAD ORELIA SITE ST PLANCARD</v>
      </c>
      <c r="C2126" t="s">
        <v>77</v>
      </c>
    </row>
    <row r="2127" spans="1:3" x14ac:dyDescent="0.25">
      <c r="A2127" t="str">
        <f>"310792494"</f>
        <v>310792494</v>
      </c>
      <c r="B2127" t="str">
        <f>"EHPAD L'ALBERGUE"</f>
        <v>EHPAD L'ALBERGUE</v>
      </c>
      <c r="C2127" t="s">
        <v>77</v>
      </c>
    </row>
    <row r="2128" spans="1:3" x14ac:dyDescent="0.25">
      <c r="A2128" t="str">
        <f>"310792692"</f>
        <v>310792692</v>
      </c>
      <c r="B2128" t="str">
        <f>"EHPAD RESIDENCE LA COTONNIERE"</f>
        <v>EHPAD RESIDENCE LA COTONNIERE</v>
      </c>
      <c r="C2128" t="s">
        <v>77</v>
      </c>
    </row>
    <row r="2129" spans="1:3" x14ac:dyDescent="0.25">
      <c r="A2129" t="str">
        <f>"310792700"</f>
        <v>310792700</v>
      </c>
      <c r="B2129" t="str">
        <f>"EHPAD RESIDENCE RONSARD"</f>
        <v>EHPAD RESIDENCE RONSARD</v>
      </c>
      <c r="C2129" t="s">
        <v>77</v>
      </c>
    </row>
    <row r="2130" spans="1:3" x14ac:dyDescent="0.25">
      <c r="A2130" t="str">
        <f>"310792858"</f>
        <v>310792858</v>
      </c>
      <c r="B2130" t="str">
        <f>"EHPAD RESIDENCE LA PASTELLIERE"</f>
        <v>EHPAD RESIDENCE LA PASTELLIERE</v>
      </c>
      <c r="C2130" t="s">
        <v>77</v>
      </c>
    </row>
    <row r="2131" spans="1:3" x14ac:dyDescent="0.25">
      <c r="A2131" t="str">
        <f>"310792866"</f>
        <v>310792866</v>
      </c>
      <c r="B2131" t="str">
        <f>"EHPAD BORDE HAUTE"</f>
        <v>EHPAD BORDE HAUTE</v>
      </c>
      <c r="C2131" t="s">
        <v>77</v>
      </c>
    </row>
    <row r="2132" spans="1:3" x14ac:dyDescent="0.25">
      <c r="A2132" t="str">
        <f>"310792965"</f>
        <v>310792965</v>
      </c>
      <c r="B2132" t="str">
        <f>"CTRE HEB. TEMPORAIRE LE REPOS"</f>
        <v>CTRE HEB. TEMPORAIRE LE REPOS</v>
      </c>
      <c r="C2132" t="s">
        <v>77</v>
      </c>
    </row>
    <row r="2133" spans="1:3" x14ac:dyDescent="0.25">
      <c r="A2133" t="str">
        <f>"310793047"</f>
        <v>310793047</v>
      </c>
      <c r="B2133" t="str">
        <f>"EHPAD LES JARDINS DE RAMBAM"</f>
        <v>EHPAD LES JARDINS DE RAMBAM</v>
      </c>
      <c r="C2133" t="s">
        <v>77</v>
      </c>
    </row>
    <row r="2134" spans="1:3" x14ac:dyDescent="0.25">
      <c r="A2134" t="str">
        <f>"310793328"</f>
        <v>310793328</v>
      </c>
      <c r="B2134" t="str">
        <f>"EHPAD RESIDENCE DU LAC"</f>
        <v>EHPAD RESIDENCE DU LAC</v>
      </c>
      <c r="C2134" t="s">
        <v>77</v>
      </c>
    </row>
    <row r="2135" spans="1:3" x14ac:dyDescent="0.25">
      <c r="A2135" t="str">
        <f>"310793336"</f>
        <v>310793336</v>
      </c>
      <c r="B2135" t="str">
        <f>"EHPAD NOTRE DAME DE LA PAIX"</f>
        <v>EHPAD NOTRE DAME DE LA PAIX</v>
      </c>
      <c r="C2135" t="s">
        <v>77</v>
      </c>
    </row>
    <row r="2136" spans="1:3" x14ac:dyDescent="0.25">
      <c r="A2136" t="str">
        <f>"310793666"</f>
        <v>310793666</v>
      </c>
      <c r="B2136" t="str">
        <f>"EHPAD HENRI IV"</f>
        <v>EHPAD HENRI IV</v>
      </c>
      <c r="C2136" t="s">
        <v>77</v>
      </c>
    </row>
    <row r="2137" spans="1:3" x14ac:dyDescent="0.25">
      <c r="A2137" t="str">
        <f>"310793674"</f>
        <v>310793674</v>
      </c>
      <c r="B2137" t="str">
        <f>"EHPAD LA CEPIERE"</f>
        <v>EHPAD LA CEPIERE</v>
      </c>
      <c r="C2137" t="s">
        <v>77</v>
      </c>
    </row>
    <row r="2138" spans="1:3" x14ac:dyDescent="0.25">
      <c r="A2138" t="str">
        <f>"310793906"</f>
        <v>310793906</v>
      </c>
      <c r="B2138" t="str">
        <f>"EHPAD KORIAN GRAND MAISON"</f>
        <v>EHPAD KORIAN GRAND MAISON</v>
      </c>
      <c r="C2138" t="s">
        <v>77</v>
      </c>
    </row>
    <row r="2139" spans="1:3" x14ac:dyDescent="0.25">
      <c r="A2139" t="str">
        <f>"310794631"</f>
        <v>310794631</v>
      </c>
      <c r="B2139" t="str">
        <f>"EHPAD SAINTE MONIQUE"</f>
        <v>EHPAD SAINTE MONIQUE</v>
      </c>
      <c r="C2139" t="s">
        <v>77</v>
      </c>
    </row>
    <row r="2140" spans="1:3" x14ac:dyDescent="0.25">
      <c r="A2140" t="str">
        <f>"310794854"</f>
        <v>310794854</v>
      </c>
      <c r="B2140" t="str">
        <f>"MAIS ACCUEIL RURAL PERS AGEES AURIGNAC"</f>
        <v>MAIS ACCUEIL RURAL PERS AGEES AURIGNAC</v>
      </c>
      <c r="C2140" t="s">
        <v>77</v>
      </c>
    </row>
    <row r="2141" spans="1:3" x14ac:dyDescent="0.25">
      <c r="A2141" t="str">
        <f>"310795364"</f>
        <v>310795364</v>
      </c>
      <c r="B2141" t="str">
        <f>"EHPAD LA CHENAIE"</f>
        <v>EHPAD LA CHENAIE</v>
      </c>
      <c r="C2141" t="s">
        <v>77</v>
      </c>
    </row>
    <row r="2142" spans="1:3" x14ac:dyDescent="0.25">
      <c r="A2142" t="str">
        <f>"310797790"</f>
        <v>310797790</v>
      </c>
      <c r="B2142" t="str">
        <f>"MARPA CAP SOULE"</f>
        <v>MARPA CAP SOULE</v>
      </c>
      <c r="C2142" t="s">
        <v>77</v>
      </c>
    </row>
    <row r="2143" spans="1:3" x14ac:dyDescent="0.25">
      <c r="A2143" t="str">
        <f>"320001159"</f>
        <v>320001159</v>
      </c>
      <c r="B2143" t="str">
        <f>"EHPAD LA BASTIDE D'ALBRET MAUVEZIN"</f>
        <v>EHPAD LA BASTIDE D'ALBRET MAUVEZIN</v>
      </c>
      <c r="C2143" t="s">
        <v>77</v>
      </c>
    </row>
    <row r="2144" spans="1:3" x14ac:dyDescent="0.25">
      <c r="A2144" t="str">
        <f>"320001258"</f>
        <v>320001258</v>
      </c>
      <c r="B2144" t="str">
        <f>"EHPAD 'LES JARDINS D'IROISE D' AUCH'"</f>
        <v>EHPAD 'LES JARDINS D'IROISE D' AUCH'</v>
      </c>
      <c r="C2144" t="s">
        <v>77</v>
      </c>
    </row>
    <row r="2145" spans="1:3" x14ac:dyDescent="0.25">
      <c r="A2145" t="str">
        <f>"320001399"</f>
        <v>320001399</v>
      </c>
      <c r="B2145" t="str">
        <f>"EHPAD 'LES JARDINS D'AGAPE'"</f>
        <v>EHPAD 'LES JARDINS D'AGAPE'</v>
      </c>
      <c r="C2145" t="s">
        <v>77</v>
      </c>
    </row>
    <row r="2146" spans="1:3" x14ac:dyDescent="0.25">
      <c r="A2146" t="str">
        <f>"320002199"</f>
        <v>320002199</v>
      </c>
      <c r="B2146" t="str">
        <f>"EHPAD VAL DE  GERS"</f>
        <v>EHPAD VAL DE  GERS</v>
      </c>
      <c r="C2146" t="s">
        <v>77</v>
      </c>
    </row>
    <row r="2147" spans="1:3" x14ac:dyDescent="0.25">
      <c r="A2147" t="str">
        <f>"320002298"</f>
        <v>320002298</v>
      </c>
      <c r="B2147" t="str">
        <f>"EHPAD LA VILLA CASTERA"</f>
        <v>EHPAD LA VILLA CASTERA</v>
      </c>
      <c r="C2147" t="s">
        <v>77</v>
      </c>
    </row>
    <row r="2148" spans="1:3" x14ac:dyDescent="0.25">
      <c r="A2148" t="str">
        <f>"320003254"</f>
        <v>320003254</v>
      </c>
      <c r="B2148" t="str">
        <f>"EHPAD ALLIANCE"</f>
        <v>EHPAD ALLIANCE</v>
      </c>
      <c r="C2148" t="s">
        <v>77</v>
      </c>
    </row>
    <row r="2149" spans="1:3" x14ac:dyDescent="0.25">
      <c r="A2149" t="str">
        <f>"320004369"</f>
        <v>320004369</v>
      </c>
      <c r="B2149" t="str">
        <f>"EHPAD LE CLOS D'ARMAGNAC"</f>
        <v>EHPAD LE CLOS D'ARMAGNAC</v>
      </c>
      <c r="C2149" t="s">
        <v>77</v>
      </c>
    </row>
    <row r="2150" spans="1:3" x14ac:dyDescent="0.25">
      <c r="A2150" t="str">
        <f>"320780463"</f>
        <v>320780463</v>
      </c>
      <c r="B2150" t="str">
        <f>"EHPAD 'RESIDENCE ELUSA' EAUZE"</f>
        <v>EHPAD 'RESIDENCE ELUSA' EAUZE</v>
      </c>
      <c r="C2150" t="s">
        <v>77</v>
      </c>
    </row>
    <row r="2151" spans="1:3" x14ac:dyDescent="0.25">
      <c r="A2151" t="str">
        <f>"320780471"</f>
        <v>320780471</v>
      </c>
      <c r="B2151" t="str">
        <f>"EHPAD ST JACQUES"</f>
        <v>EHPAD ST JACQUES</v>
      </c>
      <c r="C2151" t="s">
        <v>77</v>
      </c>
    </row>
    <row r="2152" spans="1:3" x14ac:dyDescent="0.25">
      <c r="A2152" t="str">
        <f>"320780489"</f>
        <v>320780489</v>
      </c>
      <c r="B2152" t="str">
        <f>"EHPAD CHI LOMBEZ-SITE SAMATAN"</f>
        <v>EHPAD CHI LOMBEZ-SITE SAMATAN</v>
      </c>
      <c r="C2152" t="s">
        <v>77</v>
      </c>
    </row>
    <row r="2153" spans="1:3" x14ac:dyDescent="0.25">
      <c r="A2153" t="str">
        <f>"320780497"</f>
        <v>320780497</v>
      </c>
      <c r="B2153" t="str">
        <f>"EHPAD LAS PEYRERES"</f>
        <v>EHPAD LAS PEYRERES</v>
      </c>
      <c r="C2153" t="s">
        <v>77</v>
      </c>
    </row>
    <row r="2154" spans="1:3" x14ac:dyDescent="0.25">
      <c r="A2154" t="str">
        <f>"320780505"</f>
        <v>320780505</v>
      </c>
      <c r="B2154" t="str">
        <f>"EHPAD 'LAVALLEE'"</f>
        <v>EHPAD 'LAVALLEE'</v>
      </c>
      <c r="C2154" t="s">
        <v>77</v>
      </c>
    </row>
    <row r="2155" spans="1:3" x14ac:dyDescent="0.25">
      <c r="A2155" t="str">
        <f>"320782097"</f>
        <v>320782097</v>
      </c>
      <c r="B2155" t="str">
        <f>"EHPAD CH GIMONT-SITE SAINT-HIPPOLYTE"</f>
        <v>EHPAD CH GIMONT-SITE SAINT-HIPPOLYTE</v>
      </c>
      <c r="C2155" t="s">
        <v>77</v>
      </c>
    </row>
    <row r="2156" spans="1:3" x14ac:dyDescent="0.25">
      <c r="A2156" t="str">
        <f>"320782139"</f>
        <v>320782139</v>
      </c>
      <c r="B2156" t="str">
        <f>"PUV LA TOUR DE L'AGE D'OR"</f>
        <v>PUV LA TOUR DE L'AGE D'OR</v>
      </c>
      <c r="C2156" t="s">
        <v>77</v>
      </c>
    </row>
    <row r="2157" spans="1:3" x14ac:dyDescent="0.25">
      <c r="A2157" t="str">
        <f>"320782162"</f>
        <v>320782162</v>
      </c>
      <c r="B2157" t="str">
        <f>"EHPAD 'MA MAISON' AUCH"</f>
        <v>EHPAD 'MA MAISON' AUCH</v>
      </c>
      <c r="C2157" t="s">
        <v>77</v>
      </c>
    </row>
    <row r="2158" spans="1:3" x14ac:dyDescent="0.25">
      <c r="A2158" t="str">
        <f>"320782170"</f>
        <v>320782170</v>
      </c>
      <c r="B2158" t="str">
        <f>"EHPAD LA ROSERAIE AUCH"</f>
        <v>EHPAD LA ROSERAIE AUCH</v>
      </c>
      <c r="C2158" t="s">
        <v>77</v>
      </c>
    </row>
    <row r="2159" spans="1:3" x14ac:dyDescent="0.25">
      <c r="A2159" t="str">
        <f>"320782188"</f>
        <v>320782188</v>
      </c>
      <c r="B2159" t="str">
        <f>"EHPAD CITE SAINT-JOSEPH PLAISANCE"</f>
        <v>EHPAD CITE SAINT-JOSEPH PLAISANCE</v>
      </c>
      <c r="C2159" t="s">
        <v>77</v>
      </c>
    </row>
    <row r="2160" spans="1:3" x14ac:dyDescent="0.25">
      <c r="A2160" t="str">
        <f>"320782196"</f>
        <v>320782196</v>
      </c>
      <c r="B2160" t="str">
        <f>"EHPAD MILLE SOLEILS"</f>
        <v>EHPAD MILLE SOLEILS</v>
      </c>
      <c r="C2160" t="s">
        <v>77</v>
      </c>
    </row>
    <row r="2161" spans="1:3" x14ac:dyDescent="0.25">
      <c r="A2161" t="str">
        <f>"320782212"</f>
        <v>320782212</v>
      </c>
      <c r="B2161" t="str">
        <f>"EHPAD LA TENAREZE"</f>
        <v>EHPAD LA TENAREZE</v>
      </c>
      <c r="C2161" t="s">
        <v>77</v>
      </c>
    </row>
    <row r="2162" spans="1:3" x14ac:dyDescent="0.25">
      <c r="A2162" t="str">
        <f>"320782238"</f>
        <v>320782238</v>
      </c>
      <c r="B2162" t="str">
        <f>"EHPAD RESIDENCE BEL ADOUR RISCLE"</f>
        <v>EHPAD RESIDENCE BEL ADOUR RISCLE</v>
      </c>
      <c r="C2162" t="s">
        <v>77</v>
      </c>
    </row>
    <row r="2163" spans="1:3" x14ac:dyDescent="0.25">
      <c r="A2163" t="str">
        <f>"320782253"</f>
        <v>320782253</v>
      </c>
      <c r="B2163" t="str">
        <f>"EHPAD 'LE CHATEAU FLEURI' VIC-FEZENSAC"</f>
        <v>EHPAD 'LE CHATEAU FLEURI' VIC-FEZENSAC</v>
      </c>
      <c r="C2163" t="s">
        <v>77</v>
      </c>
    </row>
    <row r="2164" spans="1:3" x14ac:dyDescent="0.25">
      <c r="A2164" t="str">
        <f>"320782758"</f>
        <v>320782758</v>
      </c>
      <c r="B2164" t="str">
        <f>"EHPAD ROBERT BARGUISSEAU"</f>
        <v>EHPAD ROBERT BARGUISSEAU</v>
      </c>
      <c r="C2164" t="s">
        <v>77</v>
      </c>
    </row>
    <row r="2165" spans="1:3" x14ac:dyDescent="0.25">
      <c r="A2165" t="str">
        <f>"320782782"</f>
        <v>320782782</v>
      </c>
      <c r="B2165" t="str">
        <f>"EHPAD LA PEPINIERE"</f>
        <v>EHPAD LA PEPINIERE</v>
      </c>
      <c r="C2165" t="s">
        <v>77</v>
      </c>
    </row>
    <row r="2166" spans="1:3" x14ac:dyDescent="0.25">
      <c r="A2166" t="str">
        <f>"320782915"</f>
        <v>320782915</v>
      </c>
      <c r="B2166" t="str">
        <f>"EHPAD LE CEDRE"</f>
        <v>EHPAD LE CEDRE</v>
      </c>
      <c r="C2166" t="s">
        <v>77</v>
      </c>
    </row>
    <row r="2167" spans="1:3" x14ac:dyDescent="0.25">
      <c r="A2167" t="str">
        <f>"320782972"</f>
        <v>320782972</v>
      </c>
      <c r="B2167" t="str">
        <f>"EHPAD LE TANE"</f>
        <v>EHPAD LE TANE</v>
      </c>
      <c r="C2167" t="s">
        <v>77</v>
      </c>
    </row>
    <row r="2168" spans="1:3" x14ac:dyDescent="0.25">
      <c r="A2168" t="str">
        <f>"320783137"</f>
        <v>320783137</v>
      </c>
      <c r="B2168" t="str">
        <f>"EHPAD CADEOT"</f>
        <v>EHPAD CADEOT</v>
      </c>
      <c r="C2168" t="s">
        <v>77</v>
      </c>
    </row>
    <row r="2169" spans="1:3" x14ac:dyDescent="0.25">
      <c r="A2169" t="str">
        <f>"320783145"</f>
        <v>320783145</v>
      </c>
      <c r="B2169" t="str">
        <f>"EHPAD CH GIMONT-SITE HOPITAL"</f>
        <v>EHPAD CH GIMONT-SITE HOPITAL</v>
      </c>
      <c r="C2169" t="s">
        <v>77</v>
      </c>
    </row>
    <row r="2170" spans="1:3" x14ac:dyDescent="0.25">
      <c r="A2170" t="str">
        <f>"320783152"</f>
        <v>320783152</v>
      </c>
      <c r="B2170" t="str">
        <f>"EHPAD CHI LOMBEZ-SITE HOPITAL"</f>
        <v>EHPAD CHI LOMBEZ-SITE HOPITAL</v>
      </c>
      <c r="C2170" t="s">
        <v>77</v>
      </c>
    </row>
    <row r="2171" spans="1:3" x14ac:dyDescent="0.25">
      <c r="A2171" t="str">
        <f>"320783160"</f>
        <v>320783160</v>
      </c>
      <c r="B2171" t="str">
        <f>"EHPAD CH MAUVEZIN"</f>
        <v>EHPAD CH MAUVEZIN</v>
      </c>
      <c r="C2171" t="s">
        <v>77</v>
      </c>
    </row>
    <row r="2172" spans="1:3" x14ac:dyDescent="0.25">
      <c r="A2172" t="str">
        <f>"320783178"</f>
        <v>320783178</v>
      </c>
      <c r="B2172" t="str">
        <f>"EHPAD CH DE MIRANDE"</f>
        <v>EHPAD CH DE MIRANDE</v>
      </c>
      <c r="C2172" t="s">
        <v>77</v>
      </c>
    </row>
    <row r="2173" spans="1:3" x14ac:dyDescent="0.25">
      <c r="A2173" t="str">
        <f>"320783186"</f>
        <v>320783186</v>
      </c>
      <c r="B2173" t="str">
        <f>"EHPAD CH NOGARO"</f>
        <v>EHPAD CH NOGARO</v>
      </c>
      <c r="C2173" t="s">
        <v>77</v>
      </c>
    </row>
    <row r="2174" spans="1:3" x14ac:dyDescent="0.25">
      <c r="A2174" t="str">
        <f>"320783194"</f>
        <v>320783194</v>
      </c>
      <c r="B2174" t="str">
        <f>"EHPAD CH VIC-FEZENSAC"</f>
        <v>EHPAD CH VIC-FEZENSAC</v>
      </c>
      <c r="C2174" t="s">
        <v>77</v>
      </c>
    </row>
    <row r="2175" spans="1:3" x14ac:dyDescent="0.25">
      <c r="A2175" t="str">
        <f>"320784606"</f>
        <v>320784606</v>
      </c>
      <c r="B2175" t="str">
        <f>"EHPAD ST DOMINIQUE AUCH"</f>
        <v>EHPAD ST DOMINIQUE AUCH</v>
      </c>
      <c r="C2175" t="s">
        <v>77</v>
      </c>
    </row>
    <row r="2176" spans="1:3" x14ac:dyDescent="0.25">
      <c r="A2176" t="str">
        <f>"320785025"</f>
        <v>320785025</v>
      </c>
      <c r="B2176" t="str">
        <f>"EHPAD 'LES MAGNOLIAS'  LE HOUGA"</f>
        <v>EHPAD 'LES MAGNOLIAS'  LE HOUGA</v>
      </c>
      <c r="C2176" t="s">
        <v>77</v>
      </c>
    </row>
    <row r="2177" spans="1:3" x14ac:dyDescent="0.25">
      <c r="A2177" t="str">
        <f>"320785363"</f>
        <v>320785363</v>
      </c>
      <c r="B2177" t="str">
        <f>"EHPAD ROGER RAMBOUR"</f>
        <v>EHPAD ROGER RAMBOUR</v>
      </c>
      <c r="C2177" t="s">
        <v>77</v>
      </c>
    </row>
    <row r="2178" spans="1:3" x14ac:dyDescent="0.25">
      <c r="A2178" t="str">
        <f>"320785629"</f>
        <v>320785629</v>
      </c>
      <c r="B2178" t="str">
        <f>"EHPAD RESIDENCE MONT-ROYAL"</f>
        <v>EHPAD RESIDENCE MONT-ROYAL</v>
      </c>
      <c r="C2178" t="s">
        <v>77</v>
      </c>
    </row>
    <row r="2179" spans="1:3" x14ac:dyDescent="0.25">
      <c r="A2179" t="str">
        <f>"330007543"</f>
        <v>330007543</v>
      </c>
      <c r="B2179" t="str">
        <f>"EHPAD MARYSE BASTIE"</f>
        <v>EHPAD MARYSE BASTIE</v>
      </c>
      <c r="C2179" t="s">
        <v>70</v>
      </c>
    </row>
    <row r="2180" spans="1:3" x14ac:dyDescent="0.25">
      <c r="A2180" t="str">
        <f>"330012048"</f>
        <v>330012048</v>
      </c>
      <c r="B2180" t="str">
        <f>"EHPAD DOUCEUR DE FRANCE"</f>
        <v>EHPAD DOUCEUR DE FRANCE</v>
      </c>
      <c r="C2180" t="s">
        <v>70</v>
      </c>
    </row>
    <row r="2181" spans="1:3" x14ac:dyDescent="0.25">
      <c r="A2181" t="str">
        <f>"330015678"</f>
        <v>330015678</v>
      </c>
      <c r="B2181" t="str">
        <f>"EHPAD RESIDENCE BOSSEGE"</f>
        <v>EHPAD RESIDENCE BOSSEGE</v>
      </c>
      <c r="C2181" t="s">
        <v>70</v>
      </c>
    </row>
    <row r="2182" spans="1:3" x14ac:dyDescent="0.25">
      <c r="A2182" t="str">
        <f>"330015728"</f>
        <v>330015728</v>
      </c>
      <c r="B2182" t="str">
        <f>"EHPAD JACQUELINE AURIOL"</f>
        <v>EHPAD JACQUELINE AURIOL</v>
      </c>
      <c r="C2182" t="s">
        <v>70</v>
      </c>
    </row>
    <row r="2183" spans="1:3" x14ac:dyDescent="0.25">
      <c r="A2183" t="str">
        <f>"330017179"</f>
        <v>330017179</v>
      </c>
      <c r="B2183" t="str">
        <f>"EHPAD SIMONE DE BEAUVOIR"</f>
        <v>EHPAD SIMONE DE BEAUVOIR</v>
      </c>
      <c r="C2183" t="s">
        <v>70</v>
      </c>
    </row>
    <row r="2184" spans="1:3" x14ac:dyDescent="0.25">
      <c r="A2184" t="str">
        <f>"330017609"</f>
        <v>330017609</v>
      </c>
      <c r="B2184" t="str">
        <f>"EHPAD KORIAN VILLA LOUISA"</f>
        <v>EHPAD KORIAN VILLA LOUISA</v>
      </c>
      <c r="C2184" t="s">
        <v>70</v>
      </c>
    </row>
    <row r="2185" spans="1:3" x14ac:dyDescent="0.25">
      <c r="A2185" t="str">
        <f>"330018169"</f>
        <v>330018169</v>
      </c>
      <c r="B2185" t="str">
        <f>"EHPAD LES SYCOMORES"</f>
        <v>EHPAD LES SYCOMORES</v>
      </c>
      <c r="C2185" t="s">
        <v>70</v>
      </c>
    </row>
    <row r="2186" spans="1:3" x14ac:dyDescent="0.25">
      <c r="A2186" t="str">
        <f>"330019019"</f>
        <v>330019019</v>
      </c>
      <c r="B2186" t="str">
        <f>"EHPAD LES JARDIN DE JEANNE"</f>
        <v>EHPAD LES JARDIN DE JEANNE</v>
      </c>
      <c r="C2186" t="s">
        <v>70</v>
      </c>
    </row>
    <row r="2187" spans="1:3" x14ac:dyDescent="0.25">
      <c r="A2187" t="str">
        <f>"330019118"</f>
        <v>330019118</v>
      </c>
      <c r="B2187" t="str">
        <f>"EHPAD LA MAISON DES COTONNIERS"</f>
        <v>EHPAD LA MAISON DES COTONNIERS</v>
      </c>
      <c r="C2187" t="s">
        <v>70</v>
      </c>
    </row>
    <row r="2188" spans="1:3" x14ac:dyDescent="0.25">
      <c r="A2188" t="str">
        <f>"330019209"</f>
        <v>330019209</v>
      </c>
      <c r="B2188" t="str">
        <f>"EHPAD RESIDENCE BELLEVUE"</f>
        <v>EHPAD RESIDENCE BELLEVUE</v>
      </c>
      <c r="C2188" t="s">
        <v>70</v>
      </c>
    </row>
    <row r="2189" spans="1:3" x14ac:dyDescent="0.25">
      <c r="A2189" t="str">
        <f>"330019308"</f>
        <v>330019308</v>
      </c>
      <c r="B2189" t="str">
        <f>"EHPAD LES TCHANQUES"</f>
        <v>EHPAD LES TCHANQUES</v>
      </c>
      <c r="C2189" t="s">
        <v>70</v>
      </c>
    </row>
    <row r="2190" spans="1:3" x14ac:dyDescent="0.25">
      <c r="A2190" t="str">
        <f>"330020629"</f>
        <v>330020629</v>
      </c>
      <c r="B2190" t="str">
        <f>"EHPAD LE DOYENNE DE LANGON"</f>
        <v>EHPAD LE DOYENNE DE LANGON</v>
      </c>
      <c r="C2190" t="s">
        <v>70</v>
      </c>
    </row>
    <row r="2191" spans="1:3" x14ac:dyDescent="0.25">
      <c r="A2191" t="str">
        <f>"330020678"</f>
        <v>330020678</v>
      </c>
      <c r="B2191" t="str">
        <f>"EHPAD RESIDENCE LE BOIS DE LORET"</f>
        <v>EHPAD RESIDENCE LE BOIS DE LORET</v>
      </c>
      <c r="C2191" t="s">
        <v>70</v>
      </c>
    </row>
    <row r="2192" spans="1:3" x14ac:dyDescent="0.25">
      <c r="A2192" t="str">
        <f>"330020819"</f>
        <v>330020819</v>
      </c>
      <c r="B2192" t="str">
        <f>"EHPAD LE MOULIN DE JEANNE"</f>
        <v>EHPAD LE MOULIN DE JEANNE</v>
      </c>
      <c r="C2192" t="s">
        <v>70</v>
      </c>
    </row>
    <row r="2193" spans="1:3" x14ac:dyDescent="0.25">
      <c r="A2193" t="str">
        <f>"330020918"</f>
        <v>330020918</v>
      </c>
      <c r="B2193" t="str">
        <f>"EHPAD LES JARDINS D'OMBELINE"</f>
        <v>EHPAD LES JARDINS D'OMBELINE</v>
      </c>
      <c r="C2193" t="s">
        <v>70</v>
      </c>
    </row>
    <row r="2194" spans="1:3" x14ac:dyDescent="0.25">
      <c r="A2194" t="str">
        <f>"330021049"</f>
        <v>330021049</v>
      </c>
      <c r="B2194" t="str">
        <f>"EHPAD LA MEMOIRE DES AILES"</f>
        <v>EHPAD LA MEMOIRE DES AILES</v>
      </c>
      <c r="C2194" t="s">
        <v>70</v>
      </c>
    </row>
    <row r="2195" spans="1:3" x14ac:dyDescent="0.25">
      <c r="A2195" t="str">
        <f>"330022138"</f>
        <v>330022138</v>
      </c>
      <c r="B2195" t="str">
        <f>"EHPAD BOIS GRAMOND"</f>
        <v>EHPAD BOIS GRAMOND</v>
      </c>
      <c r="C2195" t="s">
        <v>70</v>
      </c>
    </row>
    <row r="2196" spans="1:3" x14ac:dyDescent="0.25">
      <c r="A2196" t="str">
        <f>"330024969"</f>
        <v>330024969</v>
      </c>
      <c r="B2196" t="str">
        <f>"EHPAD L'AROUSINEY"</f>
        <v>EHPAD L'AROUSINEY</v>
      </c>
      <c r="C2196" t="s">
        <v>70</v>
      </c>
    </row>
    <row r="2197" spans="1:3" x14ac:dyDescent="0.25">
      <c r="A2197" t="str">
        <f>"330025008"</f>
        <v>330025008</v>
      </c>
      <c r="B2197" t="str">
        <f>"EHPAD LES BACCHARIS"</f>
        <v>EHPAD LES BACCHARIS</v>
      </c>
      <c r="C2197" t="s">
        <v>70</v>
      </c>
    </row>
    <row r="2198" spans="1:3" x14ac:dyDescent="0.25">
      <c r="A2198" t="str">
        <f>"330025099"</f>
        <v>330025099</v>
      </c>
      <c r="B2198" t="str">
        <f>"EHPAD RESIDENCE LA PASTORALE"</f>
        <v>EHPAD RESIDENCE LA PASTORALE</v>
      </c>
      <c r="C2198" t="s">
        <v>70</v>
      </c>
    </row>
    <row r="2199" spans="1:3" x14ac:dyDescent="0.25">
      <c r="A2199" t="str">
        <f>"330025149"</f>
        <v>330025149</v>
      </c>
      <c r="B2199" t="str">
        <f>"EHPAD LOUISE MICHEL"</f>
        <v>EHPAD LOUISE MICHEL</v>
      </c>
      <c r="C2199" t="s">
        <v>70</v>
      </c>
    </row>
    <row r="2200" spans="1:3" x14ac:dyDescent="0.25">
      <c r="A2200" t="str">
        <f>"330025198"</f>
        <v>330025198</v>
      </c>
      <c r="B2200" t="str">
        <f>"EHPAD LES PARENTELES"</f>
        <v>EHPAD LES PARENTELES</v>
      </c>
      <c r="C2200" t="s">
        <v>70</v>
      </c>
    </row>
    <row r="2201" spans="1:3" x14ac:dyDescent="0.25">
      <c r="A2201" t="str">
        <f>"330025628"</f>
        <v>330025628</v>
      </c>
      <c r="B2201" t="str">
        <f>"EHPAD RESIDENCE AIME CESAIRE"</f>
        <v>EHPAD RESIDENCE AIME CESAIRE</v>
      </c>
      <c r="C2201" t="s">
        <v>70</v>
      </c>
    </row>
    <row r="2202" spans="1:3" x14ac:dyDescent="0.25">
      <c r="A2202" t="str">
        <f>"330026279"</f>
        <v>330026279</v>
      </c>
      <c r="B2202" t="str">
        <f>"EHPAD LE PLATANE DU GRAND PARC"</f>
        <v>EHPAD LE PLATANE DU GRAND PARC</v>
      </c>
      <c r="C2202" t="s">
        <v>70</v>
      </c>
    </row>
    <row r="2203" spans="1:3" x14ac:dyDescent="0.25">
      <c r="A2203" t="str">
        <f>"330026428"</f>
        <v>330026428</v>
      </c>
      <c r="B2203" t="str">
        <f>"EHPAD LE PARC DES OLIVIERS"</f>
        <v>EHPAD LE PARC DES OLIVIERS</v>
      </c>
      <c r="C2203" t="s">
        <v>70</v>
      </c>
    </row>
    <row r="2204" spans="1:3" x14ac:dyDescent="0.25">
      <c r="A2204" t="str">
        <f>"330026568"</f>
        <v>330026568</v>
      </c>
      <c r="B2204" t="str">
        <f>"EHPAD PIERRE-MARC/MARIE-JOSEE LALANNE"</f>
        <v>EHPAD PIERRE-MARC/MARIE-JOSEE LALANNE</v>
      </c>
      <c r="C2204" t="s">
        <v>70</v>
      </c>
    </row>
    <row r="2205" spans="1:3" x14ac:dyDescent="0.25">
      <c r="A2205" t="str">
        <f>"330026618"</f>
        <v>330026618</v>
      </c>
      <c r="B2205" t="str">
        <f>"EHPAD LES PILETS"</f>
        <v>EHPAD LES PILETS</v>
      </c>
      <c r="C2205" t="s">
        <v>70</v>
      </c>
    </row>
    <row r="2206" spans="1:3" x14ac:dyDescent="0.25">
      <c r="A2206" t="str">
        <f>"330029018"</f>
        <v>330029018</v>
      </c>
      <c r="B2206" t="str">
        <f>"EHPAD LA VILLA DES PINS"</f>
        <v>EHPAD LA VILLA DES PINS</v>
      </c>
      <c r="C2206" t="s">
        <v>70</v>
      </c>
    </row>
    <row r="2207" spans="1:3" x14ac:dyDescent="0.25">
      <c r="A2207" t="str">
        <f>"330035619"</f>
        <v>330035619</v>
      </c>
      <c r="B2207" t="str">
        <f>"EHPAD RESIDENCE DU TERTRE"</f>
        <v>EHPAD RESIDENCE DU TERTRE</v>
      </c>
      <c r="C2207" t="s">
        <v>70</v>
      </c>
    </row>
    <row r="2208" spans="1:3" x14ac:dyDescent="0.25">
      <c r="A2208" t="str">
        <f>"330051129"</f>
        <v>330051129</v>
      </c>
      <c r="B2208" t="str">
        <f>"EHPAD LE PETIT TRIANON"</f>
        <v>EHPAD LE PETIT TRIANON</v>
      </c>
      <c r="C2208" t="s">
        <v>70</v>
      </c>
    </row>
    <row r="2209" spans="1:3" x14ac:dyDescent="0.25">
      <c r="A2209" t="str">
        <f>"330051988"</f>
        <v>330051988</v>
      </c>
      <c r="B2209" t="str">
        <f>"EHPAD RESIDENCE TALANSSA"</f>
        <v>EHPAD RESIDENCE TALANSSA</v>
      </c>
      <c r="C2209" t="s">
        <v>70</v>
      </c>
    </row>
    <row r="2210" spans="1:3" x14ac:dyDescent="0.25">
      <c r="A2210" t="str">
        <f>"330052028"</f>
        <v>330052028</v>
      </c>
      <c r="B2210" t="str">
        <f>"EHPAD LE BOIS DES PALOMBES"</f>
        <v>EHPAD LE BOIS DES PALOMBES</v>
      </c>
      <c r="C2210" t="s">
        <v>70</v>
      </c>
    </row>
    <row r="2211" spans="1:3" x14ac:dyDescent="0.25">
      <c r="A2211" t="str">
        <f>"330052069"</f>
        <v>330052069</v>
      </c>
      <c r="B2211" t="str">
        <f>"EHPAD L'AIRIAL DE BIRON"</f>
        <v>EHPAD L'AIRIAL DE BIRON</v>
      </c>
      <c r="C2211" t="s">
        <v>70</v>
      </c>
    </row>
    <row r="2212" spans="1:3" x14ac:dyDescent="0.25">
      <c r="A2212" t="str">
        <f>"330054503"</f>
        <v>330054503</v>
      </c>
      <c r="B2212" t="str">
        <f>"EHPAD GALLEVENT"</f>
        <v>EHPAD GALLEVENT</v>
      </c>
      <c r="C2212" t="s">
        <v>70</v>
      </c>
    </row>
    <row r="2213" spans="1:3" x14ac:dyDescent="0.25">
      <c r="A2213" t="str">
        <f>"330055799"</f>
        <v>330055799</v>
      </c>
      <c r="B2213" t="str">
        <f>"EHPAD LA BELLE ISLE"</f>
        <v>EHPAD LA BELLE ISLE</v>
      </c>
      <c r="C2213" t="s">
        <v>70</v>
      </c>
    </row>
    <row r="2214" spans="1:3" x14ac:dyDescent="0.25">
      <c r="A2214" t="str">
        <f>"330056581"</f>
        <v>330056581</v>
      </c>
      <c r="B2214" t="str">
        <f>"MAISON DE RETRAITE  LES MIMOSAS"</f>
        <v>MAISON DE RETRAITE  LES MIMOSAS</v>
      </c>
      <c r="C2214" t="s">
        <v>70</v>
      </c>
    </row>
    <row r="2215" spans="1:3" x14ac:dyDescent="0.25">
      <c r="A2215" t="str">
        <f>"330056748"</f>
        <v>330056748</v>
      </c>
      <c r="B2215" t="str">
        <f>"EHPAD LES JARDINS DE LEYSOTTE"</f>
        <v>EHPAD LES JARDINS DE LEYSOTTE</v>
      </c>
      <c r="C2215" t="s">
        <v>70</v>
      </c>
    </row>
    <row r="2216" spans="1:3" x14ac:dyDescent="0.25">
      <c r="A2216" t="str">
        <f>"330057076"</f>
        <v>330057076</v>
      </c>
      <c r="B2216" t="str">
        <f>"EHPAD ANNA HAMILTON (P)"</f>
        <v>EHPAD ANNA HAMILTON (P)</v>
      </c>
      <c r="C2216" t="s">
        <v>70</v>
      </c>
    </row>
    <row r="2217" spans="1:3" x14ac:dyDescent="0.25">
      <c r="A2217" t="str">
        <f>"330057746"</f>
        <v>330057746</v>
      </c>
      <c r="B2217" t="str">
        <f>"EHPAD  LA VILLA TCHANQUEE"</f>
        <v>EHPAD  LA VILLA TCHANQUEE</v>
      </c>
      <c r="C2217" t="s">
        <v>70</v>
      </c>
    </row>
    <row r="2218" spans="1:3" x14ac:dyDescent="0.25">
      <c r="A2218" t="str">
        <f>"330058470"</f>
        <v>330058470</v>
      </c>
      <c r="B2218" t="str">
        <f>"EHPAD RESIDENCE LES DAGUEYS"</f>
        <v>EHPAD RESIDENCE LES DAGUEYS</v>
      </c>
      <c r="C2218" t="s">
        <v>70</v>
      </c>
    </row>
    <row r="2219" spans="1:3" x14ac:dyDescent="0.25">
      <c r="A2219" t="str">
        <f>"330059809"</f>
        <v>330059809</v>
      </c>
      <c r="B2219" t="str">
        <f>"EHPAD VILLA DE VALROSE"</f>
        <v>EHPAD VILLA DE VALROSE</v>
      </c>
      <c r="C2219" t="s">
        <v>70</v>
      </c>
    </row>
    <row r="2220" spans="1:3" x14ac:dyDescent="0.25">
      <c r="A2220" t="str">
        <f>"330059965"</f>
        <v>330059965</v>
      </c>
      <c r="B2220" t="str">
        <f>"EHPAD LE BARAIL DES JAIS"</f>
        <v>EHPAD LE BARAIL DES JAIS</v>
      </c>
      <c r="C2220" t="s">
        <v>70</v>
      </c>
    </row>
    <row r="2221" spans="1:3" x14ac:dyDescent="0.25">
      <c r="A2221" t="str">
        <f>"330060021"</f>
        <v>330060021</v>
      </c>
      <c r="B2221" t="str">
        <f>"EHPAD RESIDENCE LA BOETIE"</f>
        <v>EHPAD RESIDENCE LA BOETIE</v>
      </c>
      <c r="C2221" t="s">
        <v>70</v>
      </c>
    </row>
    <row r="2222" spans="1:3" x14ac:dyDescent="0.25">
      <c r="A2222" t="str">
        <f>"330781428"</f>
        <v>330781428</v>
      </c>
      <c r="B2222" t="str">
        <f>"EHPAD TERRE-NEGRE"</f>
        <v>EHPAD TERRE-NEGRE</v>
      </c>
      <c r="C2222" t="s">
        <v>70</v>
      </c>
    </row>
    <row r="2223" spans="1:3" x14ac:dyDescent="0.25">
      <c r="A2223" t="str">
        <f>"330781659"</f>
        <v>330781659</v>
      </c>
      <c r="B2223" t="str">
        <f>"EHPAD BON PASTEUR"</f>
        <v>EHPAD BON PASTEUR</v>
      </c>
      <c r="C2223" t="s">
        <v>70</v>
      </c>
    </row>
    <row r="2224" spans="1:3" x14ac:dyDescent="0.25">
      <c r="A2224" t="str">
        <f>"330781766"</f>
        <v>330781766</v>
      </c>
      <c r="B2224" t="str">
        <f>"EHPAD DU CENTRE DE SOINS DE PODENSAC"</f>
        <v>EHPAD DU CENTRE DE SOINS DE PODENSAC</v>
      </c>
      <c r="C2224" t="s">
        <v>70</v>
      </c>
    </row>
    <row r="2225" spans="1:3" x14ac:dyDescent="0.25">
      <c r="A2225" t="str">
        <f>"330781857"</f>
        <v>330781857</v>
      </c>
      <c r="B2225" t="str">
        <f>"EHPAD ESPACE LATOUR DU PIN"</f>
        <v>EHPAD ESPACE LATOUR DU PIN</v>
      </c>
      <c r="C2225" t="s">
        <v>70</v>
      </c>
    </row>
    <row r="2226" spans="1:3" x14ac:dyDescent="0.25">
      <c r="A2226" t="str">
        <f>"330782483"</f>
        <v>330782483</v>
      </c>
      <c r="B2226" t="str">
        <f>"EHPAD PUBLIC FONDATION ESCARRAGUEL"</f>
        <v>EHPAD PUBLIC FONDATION ESCARRAGUEL</v>
      </c>
      <c r="C2226" t="s">
        <v>70</v>
      </c>
    </row>
    <row r="2227" spans="1:3" x14ac:dyDescent="0.25">
      <c r="A2227" t="str">
        <f>"330782509"</f>
        <v>330782509</v>
      </c>
      <c r="B2227" t="str">
        <f>"EHPAD MANON CORMIER"</f>
        <v>EHPAD MANON CORMIER</v>
      </c>
      <c r="C2227" t="s">
        <v>70</v>
      </c>
    </row>
    <row r="2228" spans="1:3" x14ac:dyDescent="0.25">
      <c r="A2228" t="str">
        <f>"330782517"</f>
        <v>330782517</v>
      </c>
      <c r="B2228" t="str">
        <f>"EHPAD LES TERRASSES DE BELLEROQUE"</f>
        <v>EHPAD LES TERRASSES DE BELLEROQUE</v>
      </c>
      <c r="C2228" t="s">
        <v>70</v>
      </c>
    </row>
    <row r="2229" spans="1:3" x14ac:dyDescent="0.25">
      <c r="A2229" t="str">
        <f>"330782525"</f>
        <v>330782525</v>
      </c>
      <c r="B2229" t="str">
        <f>"EHPAD MEDULI"</f>
        <v>EHPAD MEDULI</v>
      </c>
      <c r="C2229" t="s">
        <v>70</v>
      </c>
    </row>
    <row r="2230" spans="1:3" x14ac:dyDescent="0.25">
      <c r="A2230" t="str">
        <f>"330782533"</f>
        <v>330782533</v>
      </c>
      <c r="B2230" t="str">
        <f>"EHPAD RES MEDICALISEE JOHN TALBOT"</f>
        <v>EHPAD RES MEDICALISEE JOHN TALBOT</v>
      </c>
      <c r="C2230" t="s">
        <v>70</v>
      </c>
    </row>
    <row r="2231" spans="1:3" x14ac:dyDescent="0.25">
      <c r="A2231" t="str">
        <f>"330782541"</f>
        <v>330782541</v>
      </c>
      <c r="B2231" t="str">
        <f>"EHPAD PRIMEROSE"</f>
        <v>EHPAD PRIMEROSE</v>
      </c>
      <c r="C2231" t="s">
        <v>70</v>
      </c>
    </row>
    <row r="2232" spans="1:3" x14ac:dyDescent="0.25">
      <c r="A2232" t="str">
        <f>"330782558"</f>
        <v>330782558</v>
      </c>
      <c r="B2232" t="str">
        <f>"EHPAD LE HAMEAU DE LA PELOU"</f>
        <v>EHPAD LE HAMEAU DE LA PELOU</v>
      </c>
      <c r="C2232" t="s">
        <v>70</v>
      </c>
    </row>
    <row r="2233" spans="1:3" x14ac:dyDescent="0.25">
      <c r="A2233" t="str">
        <f>"330782566"</f>
        <v>330782566</v>
      </c>
      <c r="B2233" t="str">
        <f>"EHPAD LES BALCONS DE TIVOLI"</f>
        <v>EHPAD LES BALCONS DE TIVOLI</v>
      </c>
      <c r="C2233" t="s">
        <v>70</v>
      </c>
    </row>
    <row r="2234" spans="1:3" x14ac:dyDescent="0.25">
      <c r="A2234" t="str">
        <f>"330782574"</f>
        <v>330782574</v>
      </c>
      <c r="B2234" t="str">
        <f>"EHPAD LE JARDIN DES PROVINCES"</f>
        <v>EHPAD LE JARDIN DES PROVINCES</v>
      </c>
      <c r="C2234" t="s">
        <v>70</v>
      </c>
    </row>
    <row r="2235" spans="1:3" x14ac:dyDescent="0.25">
      <c r="A2235" t="str">
        <f>"330782608"</f>
        <v>330782608</v>
      </c>
      <c r="B2235" t="str">
        <f>"EHPAD LA FONTAINE D'URSULINE"</f>
        <v>EHPAD LA FONTAINE D'URSULINE</v>
      </c>
      <c r="C2235" t="s">
        <v>70</v>
      </c>
    </row>
    <row r="2236" spans="1:3" x14ac:dyDescent="0.25">
      <c r="A2236" t="str">
        <f>"330782616"</f>
        <v>330782616</v>
      </c>
      <c r="B2236" t="str">
        <f>"EHPAD CHATEAU GARDERES"</f>
        <v>EHPAD CHATEAU GARDERES</v>
      </c>
      <c r="C2236" t="s">
        <v>70</v>
      </c>
    </row>
    <row r="2237" spans="1:3" x14ac:dyDescent="0.25">
      <c r="A2237" t="str">
        <f>"330782632"</f>
        <v>330782632</v>
      </c>
      <c r="B2237" t="str">
        <f>"EHPAD FONDATION ROUX"</f>
        <v>EHPAD FONDATION ROUX</v>
      </c>
      <c r="C2237" t="s">
        <v>70</v>
      </c>
    </row>
    <row r="2238" spans="1:3" x14ac:dyDescent="0.25">
      <c r="A2238" t="str">
        <f>"330782640"</f>
        <v>330782640</v>
      </c>
      <c r="B2238" t="str">
        <f>"EHPAD ST JACQUES DE COMPOSTELLE"</f>
        <v>EHPAD ST JACQUES DE COMPOSTELLE</v>
      </c>
      <c r="C2238" t="s">
        <v>70</v>
      </c>
    </row>
    <row r="2239" spans="1:3" x14ac:dyDescent="0.25">
      <c r="A2239" t="str">
        <f>"330782707"</f>
        <v>330782707</v>
      </c>
      <c r="B2239" t="str">
        <f>"EHPAD SAINT DOMINIQUE"</f>
        <v>EHPAD SAINT DOMINIQUE</v>
      </c>
      <c r="C2239" t="s">
        <v>70</v>
      </c>
    </row>
    <row r="2240" spans="1:3" x14ac:dyDescent="0.25">
      <c r="A2240" t="str">
        <f>"330782723"</f>
        <v>330782723</v>
      </c>
      <c r="B2240" t="str">
        <f>"EHPAD BON SECOURS"</f>
        <v>EHPAD BON SECOURS</v>
      </c>
      <c r="C2240" t="s">
        <v>70</v>
      </c>
    </row>
    <row r="2241" spans="1:3" x14ac:dyDescent="0.25">
      <c r="A2241" t="str">
        <f>"330782749"</f>
        <v>330782749</v>
      </c>
      <c r="B2241" t="str">
        <f>"EHPAD RESIDENCE MARIE DURAND"</f>
        <v>EHPAD RESIDENCE MARIE DURAND</v>
      </c>
      <c r="C2241" t="s">
        <v>70</v>
      </c>
    </row>
    <row r="2242" spans="1:3" x14ac:dyDescent="0.25">
      <c r="A2242" t="str">
        <f>"330782756"</f>
        <v>330782756</v>
      </c>
      <c r="B2242" t="str">
        <f>"EHPAD NOTRE DAME DE BONNE ESPERANCE"</f>
        <v>EHPAD NOTRE DAME DE BONNE ESPERANCE</v>
      </c>
      <c r="C2242" t="s">
        <v>70</v>
      </c>
    </row>
    <row r="2243" spans="1:3" x14ac:dyDescent="0.25">
      <c r="A2243" t="str">
        <f>"330782780"</f>
        <v>330782780</v>
      </c>
      <c r="B2243" t="str">
        <f>"EHPAD LES FLEURS DE GAMBETTA"</f>
        <v>EHPAD LES FLEURS DE GAMBETTA</v>
      </c>
      <c r="C2243" t="s">
        <v>70</v>
      </c>
    </row>
    <row r="2244" spans="1:3" x14ac:dyDescent="0.25">
      <c r="A2244" t="str">
        <f>"330782798"</f>
        <v>330782798</v>
      </c>
      <c r="B2244" t="str">
        <f>"EHPAD  GRAND BON PASTEUR"</f>
        <v>EHPAD  GRAND BON PASTEUR</v>
      </c>
      <c r="C2244" t="s">
        <v>70</v>
      </c>
    </row>
    <row r="2245" spans="1:3" x14ac:dyDescent="0.25">
      <c r="A2245" t="str">
        <f>"330782806"</f>
        <v>330782806</v>
      </c>
      <c r="B2245" t="str">
        <f>"EHPAD  FONDATION DUBOIS"</f>
        <v>EHPAD  FONDATION DUBOIS</v>
      </c>
      <c r="C2245" t="s">
        <v>70</v>
      </c>
    </row>
    <row r="2246" spans="1:3" x14ac:dyDescent="0.25">
      <c r="A2246" t="str">
        <f>"330782814"</f>
        <v>330782814</v>
      </c>
      <c r="B2246" t="str">
        <f>"EHPAD RESIDENCE SAINTE GERMAINE"</f>
        <v>EHPAD RESIDENCE SAINTE GERMAINE</v>
      </c>
      <c r="C2246" t="s">
        <v>70</v>
      </c>
    </row>
    <row r="2247" spans="1:3" x14ac:dyDescent="0.25">
      <c r="A2247" t="str">
        <f>"330782830"</f>
        <v>330782830</v>
      </c>
      <c r="B2247" t="str">
        <f>"EHPAD RESIDENCE LE VIGEAN"</f>
        <v>EHPAD RESIDENCE LE VIGEAN</v>
      </c>
      <c r="C2247" t="s">
        <v>70</v>
      </c>
    </row>
    <row r="2248" spans="1:3" x14ac:dyDescent="0.25">
      <c r="A2248" t="str">
        <f>"330782848"</f>
        <v>330782848</v>
      </c>
      <c r="B2248" t="str">
        <f>"EHPAD RESIDENCE BELLE-CROIX"</f>
        <v>EHPAD RESIDENCE BELLE-CROIX</v>
      </c>
      <c r="C2248" t="s">
        <v>70</v>
      </c>
    </row>
    <row r="2249" spans="1:3" x14ac:dyDescent="0.25">
      <c r="A2249" t="str">
        <f>"330782855"</f>
        <v>330782855</v>
      </c>
      <c r="B2249" t="str">
        <f>"EHPAD LA CLAIRIERE DE LUSSY"</f>
        <v>EHPAD LA CLAIRIERE DE LUSSY</v>
      </c>
      <c r="C2249" t="s">
        <v>70</v>
      </c>
    </row>
    <row r="2250" spans="1:3" x14ac:dyDescent="0.25">
      <c r="A2250" t="str">
        <f>"330782863"</f>
        <v>330782863</v>
      </c>
      <c r="B2250" t="str">
        <f>"EHPAD RES BTP RMS FONTAINES DE MONJOUS"</f>
        <v>EHPAD RES BTP RMS FONTAINES DE MONJOUS</v>
      </c>
      <c r="C2250" t="s">
        <v>70</v>
      </c>
    </row>
    <row r="2251" spans="1:3" x14ac:dyDescent="0.25">
      <c r="A2251" t="str">
        <f>"330782871"</f>
        <v>330782871</v>
      </c>
      <c r="B2251" t="str">
        <f>"EHPAD FONDATION SAINT-LEONARD"</f>
        <v>EHPAD FONDATION SAINT-LEONARD</v>
      </c>
      <c r="C2251" t="s">
        <v>70</v>
      </c>
    </row>
    <row r="2252" spans="1:3" x14ac:dyDescent="0.25">
      <c r="A2252" t="str">
        <f>"330782889"</f>
        <v>330782889</v>
      </c>
      <c r="B2252" t="str">
        <f>"EHPAD LES COTEAUX"</f>
        <v>EHPAD LES COTEAUX</v>
      </c>
      <c r="C2252" t="s">
        <v>70</v>
      </c>
    </row>
    <row r="2253" spans="1:3" x14ac:dyDescent="0.25">
      <c r="A2253" t="str">
        <f>"330783333"</f>
        <v>330783333</v>
      </c>
      <c r="B2253" t="str">
        <f>"EHPAD SEGUIN"</f>
        <v>EHPAD SEGUIN</v>
      </c>
      <c r="C2253" t="s">
        <v>70</v>
      </c>
    </row>
    <row r="2254" spans="1:3" x14ac:dyDescent="0.25">
      <c r="A2254" t="str">
        <f>"330783465"</f>
        <v>330783465</v>
      </c>
      <c r="B2254" t="str">
        <f>"EHPAD CHATEAU POMEROL"</f>
        <v>EHPAD CHATEAU POMEROL</v>
      </c>
      <c r="C2254" t="s">
        <v>70</v>
      </c>
    </row>
    <row r="2255" spans="1:3" x14ac:dyDescent="0.25">
      <c r="A2255" t="str">
        <f>"330783481"</f>
        <v>330783481</v>
      </c>
      <c r="B2255" t="str">
        <f>"EHPAD FOYER DE RETRAITE DU COMBATTANT"</f>
        <v>EHPAD FOYER DE RETRAITE DU COMBATTANT</v>
      </c>
      <c r="C2255" t="s">
        <v>70</v>
      </c>
    </row>
    <row r="2256" spans="1:3" x14ac:dyDescent="0.25">
      <c r="A2256" t="str">
        <f>"330783580"</f>
        <v>330783580</v>
      </c>
      <c r="B2256" t="str">
        <f>"EHPAD LE BOURGAILH"</f>
        <v>EHPAD LE BOURGAILH</v>
      </c>
      <c r="C2256" t="s">
        <v>70</v>
      </c>
    </row>
    <row r="2257" spans="1:3" x14ac:dyDescent="0.25">
      <c r="A2257" t="str">
        <f>"330785114"</f>
        <v>330785114</v>
      </c>
      <c r="B2257" t="str">
        <f>"EHPAD DU CH  LIBOURNE"</f>
        <v>EHPAD DU CH  LIBOURNE</v>
      </c>
      <c r="C2257" t="s">
        <v>70</v>
      </c>
    </row>
    <row r="2258" spans="1:3" x14ac:dyDescent="0.25">
      <c r="A2258" t="str">
        <f>"330785130"</f>
        <v>330785130</v>
      </c>
      <c r="B2258" t="str">
        <f>"EHPAD DE LA REOLE"</f>
        <v>EHPAD DE LA REOLE</v>
      </c>
      <c r="C2258" t="s">
        <v>70</v>
      </c>
    </row>
    <row r="2259" spans="1:3" x14ac:dyDescent="0.25">
      <c r="A2259" t="str">
        <f>"330786005"</f>
        <v>330786005</v>
      </c>
      <c r="B2259" t="str">
        <f>"EHPAD  ST GEORGES"</f>
        <v>EHPAD  ST GEORGES</v>
      </c>
      <c r="C2259" t="s">
        <v>70</v>
      </c>
    </row>
    <row r="2260" spans="1:3" x14ac:dyDescent="0.25">
      <c r="A2260" t="str">
        <f>"330786161"</f>
        <v>330786161</v>
      </c>
      <c r="B2260" t="str">
        <f>"EHPAD MGEN ARES"</f>
        <v>EHPAD MGEN ARES</v>
      </c>
      <c r="C2260" t="s">
        <v>70</v>
      </c>
    </row>
    <row r="2261" spans="1:3" x14ac:dyDescent="0.25">
      <c r="A2261" t="str">
        <f>"330786187"</f>
        <v>330786187</v>
      </c>
      <c r="B2261" t="str">
        <f>"EHPAD MA MAISON"</f>
        <v>EHPAD MA MAISON</v>
      </c>
      <c r="C2261" t="s">
        <v>70</v>
      </c>
    </row>
    <row r="2262" spans="1:3" x14ac:dyDescent="0.25">
      <c r="A2262" t="str">
        <f>"330786203"</f>
        <v>330786203</v>
      </c>
      <c r="B2262" t="str">
        <f>"EHPAD COS VILLA PIA"</f>
        <v>EHPAD COS VILLA PIA</v>
      </c>
      <c r="C2262" t="s">
        <v>70</v>
      </c>
    </row>
    <row r="2263" spans="1:3" x14ac:dyDescent="0.25">
      <c r="A2263" t="str">
        <f>"330786211"</f>
        <v>330786211</v>
      </c>
      <c r="B2263" t="str">
        <f>"EHPAD PUBLIC HUBERT LALANNE"</f>
        <v>EHPAD PUBLIC HUBERT LALANNE</v>
      </c>
      <c r="C2263" t="s">
        <v>70</v>
      </c>
    </row>
    <row r="2264" spans="1:3" x14ac:dyDescent="0.25">
      <c r="A2264" t="str">
        <f>"330786229"</f>
        <v>330786229</v>
      </c>
      <c r="B2264" t="str">
        <f>"EHPAD LES MURIERS"</f>
        <v>EHPAD LES MURIERS</v>
      </c>
      <c r="C2264" t="s">
        <v>70</v>
      </c>
    </row>
    <row r="2265" spans="1:3" x14ac:dyDescent="0.25">
      <c r="A2265" t="str">
        <f>"330786237"</f>
        <v>330786237</v>
      </c>
      <c r="B2265" t="str">
        <f>"EHPAD LE HOME MEDOCAIN"</f>
        <v>EHPAD LE HOME MEDOCAIN</v>
      </c>
      <c r="C2265" t="s">
        <v>70</v>
      </c>
    </row>
    <row r="2266" spans="1:3" x14ac:dyDescent="0.25">
      <c r="A2266" t="str">
        <f>"330786252"</f>
        <v>330786252</v>
      </c>
      <c r="B2266" t="str">
        <f>"EHPAD RESIDENCE CLOS LAFITTE"</f>
        <v>EHPAD RESIDENCE CLOS LAFITTE</v>
      </c>
      <c r="C2266" t="s">
        <v>70</v>
      </c>
    </row>
    <row r="2267" spans="1:3" x14ac:dyDescent="0.25">
      <c r="A2267" t="str">
        <f>"330786278"</f>
        <v>330786278</v>
      </c>
      <c r="B2267" t="str">
        <f>"EHPAD KORIAN VILLA GABRIEL"</f>
        <v>EHPAD KORIAN VILLA GABRIEL</v>
      </c>
      <c r="C2267" t="s">
        <v>70</v>
      </c>
    </row>
    <row r="2268" spans="1:3" x14ac:dyDescent="0.25">
      <c r="A2268" t="str">
        <f>"330786302"</f>
        <v>330786302</v>
      </c>
      <c r="B2268" t="str">
        <f>"EHPAD LE RETOU"</f>
        <v>EHPAD LE RETOU</v>
      </c>
      <c r="C2268" t="s">
        <v>70</v>
      </c>
    </row>
    <row r="2269" spans="1:3" x14ac:dyDescent="0.25">
      <c r="A2269" t="str">
        <f>"330786385"</f>
        <v>330786385</v>
      </c>
      <c r="B2269" t="str">
        <f>"EHPAD CHATEAU VACQUEY"</f>
        <v>EHPAD CHATEAU VACQUEY</v>
      </c>
      <c r="C2269" t="s">
        <v>70</v>
      </c>
    </row>
    <row r="2270" spans="1:3" x14ac:dyDescent="0.25">
      <c r="A2270" t="str">
        <f>"330790031"</f>
        <v>330790031</v>
      </c>
      <c r="B2270" t="str">
        <f>"EHPAD PAUL LOUIS WEILLER"</f>
        <v>EHPAD PAUL LOUIS WEILLER</v>
      </c>
      <c r="C2270" t="s">
        <v>70</v>
      </c>
    </row>
    <row r="2271" spans="1:3" x14ac:dyDescent="0.25">
      <c r="A2271" t="str">
        <f>"330791021"</f>
        <v>330791021</v>
      </c>
      <c r="B2271" t="str">
        <f>"EHPAD BTP RSM LA BERGE DU LAC"</f>
        <v>EHPAD BTP RSM LA BERGE DU LAC</v>
      </c>
      <c r="C2271" t="s">
        <v>70</v>
      </c>
    </row>
    <row r="2272" spans="1:3" x14ac:dyDescent="0.25">
      <c r="A2272" t="str">
        <f>"330791054"</f>
        <v>330791054</v>
      </c>
      <c r="B2272" t="str">
        <f>"EHPAD LE CLOS DES ACACIAS"</f>
        <v>EHPAD LE CLOS DES ACACIAS</v>
      </c>
      <c r="C2272" t="s">
        <v>70</v>
      </c>
    </row>
    <row r="2273" spans="1:3" x14ac:dyDescent="0.25">
      <c r="A2273" t="str">
        <f>"330791062"</f>
        <v>330791062</v>
      </c>
      <c r="B2273" t="str">
        <f>"EHPAD LES JARDINS D'IROISE"</f>
        <v>EHPAD LES JARDINS D'IROISE</v>
      </c>
      <c r="C2273" t="s">
        <v>70</v>
      </c>
    </row>
    <row r="2274" spans="1:3" x14ac:dyDescent="0.25">
      <c r="A2274" t="str">
        <f>"330791112"</f>
        <v>330791112</v>
      </c>
      <c r="B2274" t="str">
        <f>"EHPAD L'OASIS"</f>
        <v>EHPAD L'OASIS</v>
      </c>
      <c r="C2274" t="s">
        <v>70</v>
      </c>
    </row>
    <row r="2275" spans="1:3" x14ac:dyDescent="0.25">
      <c r="A2275" t="str">
        <f>"330791153"</f>
        <v>330791153</v>
      </c>
      <c r="B2275" t="str">
        <f>"EHPAD VILLA PRESENTINE"</f>
        <v>EHPAD VILLA PRESENTINE</v>
      </c>
      <c r="C2275" t="s">
        <v>70</v>
      </c>
    </row>
    <row r="2276" spans="1:3" x14ac:dyDescent="0.25">
      <c r="A2276" t="str">
        <f>"330791302"</f>
        <v>330791302</v>
      </c>
      <c r="B2276" t="str">
        <f>"EHPAD LE SABLONAT"</f>
        <v>EHPAD LE SABLONAT</v>
      </c>
      <c r="C2276" t="s">
        <v>70</v>
      </c>
    </row>
    <row r="2277" spans="1:3" x14ac:dyDescent="0.25">
      <c r="A2277" t="str">
        <f>"330791757"</f>
        <v>330791757</v>
      </c>
      <c r="B2277" t="str">
        <f>"EHPAD MA RESIDENCE"</f>
        <v>EHPAD MA RESIDENCE</v>
      </c>
      <c r="C2277" t="s">
        <v>70</v>
      </c>
    </row>
    <row r="2278" spans="1:3" x14ac:dyDescent="0.25">
      <c r="A2278" t="str">
        <f>"330792177"</f>
        <v>330792177</v>
      </c>
      <c r="B2278" t="str">
        <f>"EHPAD CHATEAU LA CURE"</f>
        <v>EHPAD CHATEAU LA CURE</v>
      </c>
      <c r="C2278" t="s">
        <v>70</v>
      </c>
    </row>
    <row r="2279" spans="1:3" x14ac:dyDescent="0.25">
      <c r="A2279" t="str">
        <f>"330792201"</f>
        <v>330792201</v>
      </c>
      <c r="B2279" t="str">
        <f>"EHPAD LE RELAIS DES SENS"</f>
        <v>EHPAD LE RELAIS DES SENS</v>
      </c>
      <c r="C2279" t="s">
        <v>70</v>
      </c>
    </row>
    <row r="2280" spans="1:3" x14ac:dyDescent="0.25">
      <c r="A2280" t="str">
        <f>"330792573"</f>
        <v>330792573</v>
      </c>
      <c r="B2280" t="str">
        <f>"EHPAD LES JARDINS DE L'ALOUETTE"</f>
        <v>EHPAD LES JARDINS DE L'ALOUETTE</v>
      </c>
      <c r="C2280" t="s">
        <v>70</v>
      </c>
    </row>
    <row r="2281" spans="1:3" x14ac:dyDescent="0.25">
      <c r="A2281" t="str">
        <f>"330792615"</f>
        <v>330792615</v>
      </c>
      <c r="B2281" t="str">
        <f>"EHPAD DE MONSEGUR"</f>
        <v>EHPAD DE MONSEGUR</v>
      </c>
      <c r="C2281" t="s">
        <v>70</v>
      </c>
    </row>
    <row r="2282" spans="1:3" x14ac:dyDescent="0.25">
      <c r="A2282" t="str">
        <f>"330792631"</f>
        <v>330792631</v>
      </c>
      <c r="B2282" t="str">
        <f>"EHPAD DU CH DE BAZAS"</f>
        <v>EHPAD DU CH DE BAZAS</v>
      </c>
      <c r="C2282" t="s">
        <v>70</v>
      </c>
    </row>
    <row r="2283" spans="1:3" x14ac:dyDescent="0.25">
      <c r="A2283" t="str">
        <f>"330792649"</f>
        <v>330792649</v>
      </c>
      <c r="B2283" t="str">
        <f>"EHPAD DU CH DE SAINTE FOY LA GRANDE"</f>
        <v>EHPAD DU CH DE SAINTE FOY LA GRANDE</v>
      </c>
      <c r="C2283" t="s">
        <v>70</v>
      </c>
    </row>
    <row r="2284" spans="1:3" x14ac:dyDescent="0.25">
      <c r="A2284" t="str">
        <f>"330792656"</f>
        <v>330792656</v>
      </c>
      <c r="B2284" t="str">
        <f>"EHPAD LE VAL DE BRION"</f>
        <v>EHPAD LE VAL DE BRION</v>
      </c>
      <c r="C2284" t="s">
        <v>70</v>
      </c>
    </row>
    <row r="2285" spans="1:3" x14ac:dyDescent="0.25">
      <c r="A2285" t="str">
        <f>"330793159"</f>
        <v>330793159</v>
      </c>
      <c r="B2285" t="str">
        <f>"EHPAD LES JARDINS D'ELEONORE"</f>
        <v>EHPAD LES JARDINS D'ELEONORE</v>
      </c>
      <c r="C2285" t="s">
        <v>70</v>
      </c>
    </row>
    <row r="2286" spans="1:3" x14ac:dyDescent="0.25">
      <c r="A2286" t="str">
        <f>"330793175"</f>
        <v>330793175</v>
      </c>
      <c r="B2286" t="str">
        <f>"EHPAD LORMONT"</f>
        <v>EHPAD LORMONT</v>
      </c>
      <c r="C2286" t="s">
        <v>70</v>
      </c>
    </row>
    <row r="2287" spans="1:3" x14ac:dyDescent="0.25">
      <c r="A2287" t="str">
        <f>"330795352"</f>
        <v>330795352</v>
      </c>
      <c r="B2287" t="str">
        <f>"EHPAD LES JARDINS DU MEDOC"</f>
        <v>EHPAD LES JARDINS DU MEDOC</v>
      </c>
      <c r="C2287" t="s">
        <v>70</v>
      </c>
    </row>
    <row r="2288" spans="1:3" x14ac:dyDescent="0.25">
      <c r="A2288" t="str">
        <f>"330796293"</f>
        <v>330796293</v>
      </c>
      <c r="B2288" t="str">
        <f>"EHPAD FONDATION LARRIEU"</f>
        <v>EHPAD FONDATION LARRIEU</v>
      </c>
      <c r="C2288" t="s">
        <v>70</v>
      </c>
    </row>
    <row r="2289" spans="1:3" x14ac:dyDescent="0.25">
      <c r="A2289" t="str">
        <f>"330796376"</f>
        <v>330796376</v>
      </c>
      <c r="B2289" t="str">
        <f>"EHPAD RESIDENCE D'AQUITAINE"</f>
        <v>EHPAD RESIDENCE D'AQUITAINE</v>
      </c>
      <c r="C2289" t="s">
        <v>70</v>
      </c>
    </row>
    <row r="2290" spans="1:3" x14ac:dyDescent="0.25">
      <c r="A2290" t="str">
        <f>"330797929"</f>
        <v>330797929</v>
      </c>
      <c r="B2290" t="str">
        <f>"EHPAD  RESIDENCE D'AUDENGE"</f>
        <v>EHPAD  RESIDENCE D'AUDENGE</v>
      </c>
      <c r="C2290" t="s">
        <v>70</v>
      </c>
    </row>
    <row r="2291" spans="1:3" x14ac:dyDescent="0.25">
      <c r="A2291" t="str">
        <f>"330797952"</f>
        <v>330797952</v>
      </c>
      <c r="B2291" t="str">
        <f>"EHPAD LE CHALET"</f>
        <v>EHPAD LE CHALET</v>
      </c>
      <c r="C2291" t="s">
        <v>70</v>
      </c>
    </row>
    <row r="2292" spans="1:3" x14ac:dyDescent="0.25">
      <c r="A2292" t="str">
        <f>"330797960"</f>
        <v>330797960</v>
      </c>
      <c r="B2292" t="str">
        <f>"EHPAD LES MAGNOLIAS"</f>
        <v>EHPAD LES MAGNOLIAS</v>
      </c>
      <c r="C2292" t="s">
        <v>70</v>
      </c>
    </row>
    <row r="2293" spans="1:3" x14ac:dyDescent="0.25">
      <c r="A2293" t="str">
        <f>"330798026"</f>
        <v>330798026</v>
      </c>
      <c r="B2293" t="str">
        <f>"EHPAD LE CLOS D'ALIENOR"</f>
        <v>EHPAD LE CLOS D'ALIENOR</v>
      </c>
      <c r="C2293" t="s">
        <v>70</v>
      </c>
    </row>
    <row r="2294" spans="1:3" x14ac:dyDescent="0.25">
      <c r="A2294" t="str">
        <f>"330798075"</f>
        <v>330798075</v>
      </c>
      <c r="B2294" t="str">
        <f>"EHPAD CHANTEFONTAINE"</f>
        <v>EHPAD CHANTEFONTAINE</v>
      </c>
      <c r="C2294" t="s">
        <v>70</v>
      </c>
    </row>
    <row r="2295" spans="1:3" x14ac:dyDescent="0.25">
      <c r="A2295" t="str">
        <f>"330798208"</f>
        <v>330798208</v>
      </c>
      <c r="B2295" t="str">
        <f>"EHPAD RESIDENCE MEDICIS"</f>
        <v>EHPAD RESIDENCE MEDICIS</v>
      </c>
      <c r="C2295" t="s">
        <v>70</v>
      </c>
    </row>
    <row r="2296" spans="1:3" x14ac:dyDescent="0.25">
      <c r="A2296" t="str">
        <f>"330798216"</f>
        <v>330798216</v>
      </c>
      <c r="B2296" t="str">
        <f>"EHPAD LES CHARDONS BLEUS"</f>
        <v>EHPAD LES CHARDONS BLEUS</v>
      </c>
      <c r="C2296" t="s">
        <v>70</v>
      </c>
    </row>
    <row r="2297" spans="1:3" x14ac:dyDescent="0.25">
      <c r="A2297" t="str">
        <f>"330798224"</f>
        <v>330798224</v>
      </c>
      <c r="B2297" t="str">
        <f>"EHPAD RESIDENCE JEAN MONNET"</f>
        <v>EHPAD RESIDENCE JEAN MONNET</v>
      </c>
      <c r="C2297" t="s">
        <v>70</v>
      </c>
    </row>
    <row r="2298" spans="1:3" x14ac:dyDescent="0.25">
      <c r="A2298" t="str">
        <f>"330798232"</f>
        <v>330798232</v>
      </c>
      <c r="B2298" t="str">
        <f>"EHPAD LES ERABLES"</f>
        <v>EHPAD LES ERABLES</v>
      </c>
      <c r="C2298" t="s">
        <v>70</v>
      </c>
    </row>
    <row r="2299" spans="1:3" x14ac:dyDescent="0.25">
      <c r="A2299" t="str">
        <f>"330798240"</f>
        <v>330798240</v>
      </c>
      <c r="B2299" t="str">
        <f>"EHPAD LA RENAISSANCE"</f>
        <v>EHPAD LA RENAISSANCE</v>
      </c>
      <c r="C2299" t="s">
        <v>70</v>
      </c>
    </row>
    <row r="2300" spans="1:3" x14ac:dyDescent="0.25">
      <c r="A2300" t="str">
        <f>"330798265"</f>
        <v>330798265</v>
      </c>
      <c r="B2300" t="str">
        <f>"EHPAD MUTUALISTE DE PESSAC"</f>
        <v>EHPAD MUTUALISTE DE PESSAC</v>
      </c>
      <c r="C2300" t="s">
        <v>70</v>
      </c>
    </row>
    <row r="2301" spans="1:3" x14ac:dyDescent="0.25">
      <c r="A2301" t="str">
        <f>"330798273"</f>
        <v>330798273</v>
      </c>
      <c r="B2301" t="str">
        <f>"EHPAD LA CLAIRIERE DE BEL AIR"</f>
        <v>EHPAD LA CLAIRIERE DE BEL AIR</v>
      </c>
      <c r="C2301" t="s">
        <v>70</v>
      </c>
    </row>
    <row r="2302" spans="1:3" x14ac:dyDescent="0.25">
      <c r="A2302" t="str">
        <f>"330798281"</f>
        <v>330798281</v>
      </c>
      <c r="B2302" t="str">
        <f>"EHPAD LA MAISON DE SAINT AUBIN"</f>
        <v>EHPAD LA MAISON DE SAINT AUBIN</v>
      </c>
      <c r="C2302" t="s">
        <v>70</v>
      </c>
    </row>
    <row r="2303" spans="1:3" x14ac:dyDescent="0.25">
      <c r="A2303" t="str">
        <f>"330798331"</f>
        <v>330798331</v>
      </c>
      <c r="B2303" t="str">
        <f>"EHPAD HOME MARIE CURIE"</f>
        <v>EHPAD HOME MARIE CURIE</v>
      </c>
      <c r="C2303" t="s">
        <v>70</v>
      </c>
    </row>
    <row r="2304" spans="1:3" x14ac:dyDescent="0.25">
      <c r="A2304" t="str">
        <f>"330798356"</f>
        <v>330798356</v>
      </c>
      <c r="B2304" t="str">
        <f>"EHPAD RES DE LA HE- CLOS BONNARDEL"</f>
        <v>EHPAD RES DE LA HE- CLOS BONNARDEL</v>
      </c>
      <c r="C2304" t="s">
        <v>70</v>
      </c>
    </row>
    <row r="2305" spans="1:3" x14ac:dyDescent="0.25">
      <c r="A2305" t="str">
        <f>"330798463"</f>
        <v>330798463</v>
      </c>
      <c r="B2305" t="str">
        <f>"MAISON DE RETRAITE L'ORCHIDEE"</f>
        <v>MAISON DE RETRAITE L'ORCHIDEE</v>
      </c>
      <c r="C2305" t="s">
        <v>70</v>
      </c>
    </row>
    <row r="2306" spans="1:3" x14ac:dyDescent="0.25">
      <c r="A2306" t="str">
        <f>"330798471"</f>
        <v>330798471</v>
      </c>
      <c r="B2306" t="str">
        <f>"EHPAD LES TERRASSES DE BEAUSEJOUR"</f>
        <v>EHPAD LES TERRASSES DE BEAUSEJOUR</v>
      </c>
      <c r="C2306" t="s">
        <v>70</v>
      </c>
    </row>
    <row r="2307" spans="1:3" x14ac:dyDescent="0.25">
      <c r="A2307" t="str">
        <f>"330798497"</f>
        <v>330798497</v>
      </c>
      <c r="B2307" t="str">
        <f>"EHPAD PAUL ARDOUIN"</f>
        <v>EHPAD PAUL ARDOUIN</v>
      </c>
      <c r="C2307" t="s">
        <v>70</v>
      </c>
    </row>
    <row r="2308" spans="1:3" x14ac:dyDescent="0.25">
      <c r="A2308" t="str">
        <f>"330798554"</f>
        <v>330798554</v>
      </c>
      <c r="B2308" t="str">
        <f>"EHPAD LE TEMPS DE VIVRE"</f>
        <v>EHPAD LE TEMPS DE VIVRE</v>
      </c>
      <c r="C2308" t="s">
        <v>70</v>
      </c>
    </row>
    <row r="2309" spans="1:3" x14ac:dyDescent="0.25">
      <c r="A2309" t="str">
        <f>"330798588"</f>
        <v>330798588</v>
      </c>
      <c r="B2309" t="str">
        <f>"EHPAD LE LAC DE CALOT"</f>
        <v>EHPAD LE LAC DE CALOT</v>
      </c>
      <c r="C2309" t="s">
        <v>70</v>
      </c>
    </row>
    <row r="2310" spans="1:3" x14ac:dyDescent="0.25">
      <c r="A2310" t="str">
        <f>"330798612"</f>
        <v>330798612</v>
      </c>
      <c r="B2310" t="str">
        <f>"EHPAD RESIDENCE DE CHAMBERY"</f>
        <v>EHPAD RESIDENCE DE CHAMBERY</v>
      </c>
      <c r="C2310" t="s">
        <v>70</v>
      </c>
    </row>
    <row r="2311" spans="1:3" x14ac:dyDescent="0.25">
      <c r="A2311" t="str">
        <f>"330798646"</f>
        <v>330798646</v>
      </c>
      <c r="B2311" t="str">
        <f>"EHPAD RESIDENCE LA SAVANE"</f>
        <v>EHPAD RESIDENCE LA SAVANE</v>
      </c>
      <c r="C2311" t="s">
        <v>70</v>
      </c>
    </row>
    <row r="2312" spans="1:3" x14ac:dyDescent="0.25">
      <c r="A2312" t="str">
        <f>"330798661"</f>
        <v>330798661</v>
      </c>
      <c r="B2312" t="str">
        <f>"EHPAD RESIDENCE DE PYLA MER"</f>
        <v>EHPAD RESIDENCE DE PYLA MER</v>
      </c>
      <c r="C2312" t="s">
        <v>70</v>
      </c>
    </row>
    <row r="2313" spans="1:3" x14ac:dyDescent="0.25">
      <c r="A2313" t="str">
        <f>"330798679"</f>
        <v>330798679</v>
      </c>
      <c r="B2313" t="str">
        <f>"EHPAD LES ROSES DU BASSIN"</f>
        <v>EHPAD LES ROSES DU BASSIN</v>
      </c>
      <c r="C2313" t="s">
        <v>70</v>
      </c>
    </row>
    <row r="2314" spans="1:3" x14ac:dyDescent="0.25">
      <c r="A2314" t="str">
        <f>"330798695"</f>
        <v>330798695</v>
      </c>
      <c r="B2314" t="str">
        <f>"EHPAD LA VILLA DES ACACIAS"</f>
        <v>EHPAD LA VILLA DES ACACIAS</v>
      </c>
      <c r="C2314" t="s">
        <v>70</v>
      </c>
    </row>
    <row r="2315" spans="1:3" x14ac:dyDescent="0.25">
      <c r="A2315" t="str">
        <f>"330798711"</f>
        <v>330798711</v>
      </c>
      <c r="B2315" t="str">
        <f>"EHPAD  DES GRAVES"</f>
        <v>EHPAD  DES GRAVES</v>
      </c>
      <c r="C2315" t="s">
        <v>70</v>
      </c>
    </row>
    <row r="2316" spans="1:3" x14ac:dyDescent="0.25">
      <c r="A2316" t="str">
        <f>"330798794"</f>
        <v>330798794</v>
      </c>
      <c r="B2316" t="str">
        <f>"EHPAD LE REPOS MARIN"</f>
        <v>EHPAD LE REPOS MARIN</v>
      </c>
      <c r="C2316" t="s">
        <v>70</v>
      </c>
    </row>
    <row r="2317" spans="1:3" x14ac:dyDescent="0.25">
      <c r="A2317" t="str">
        <f>"330798828"</f>
        <v>330798828</v>
      </c>
      <c r="B2317" t="str">
        <f>"EHPAD MIRAMBEAU"</f>
        <v>EHPAD MIRAMBEAU</v>
      </c>
      <c r="C2317" t="s">
        <v>70</v>
      </c>
    </row>
    <row r="2318" spans="1:3" x14ac:dyDescent="0.25">
      <c r="A2318" t="str">
        <f>"330799032"</f>
        <v>330799032</v>
      </c>
      <c r="B2318" t="str">
        <f>"EHPAD CLAIREFONTAINE"</f>
        <v>EHPAD CLAIREFONTAINE</v>
      </c>
      <c r="C2318" t="s">
        <v>70</v>
      </c>
    </row>
    <row r="2319" spans="1:3" x14ac:dyDescent="0.25">
      <c r="A2319" t="str">
        <f>"330799040"</f>
        <v>330799040</v>
      </c>
      <c r="B2319" t="str">
        <f>"EHPAD DU BOURG"</f>
        <v>EHPAD DU BOURG</v>
      </c>
      <c r="C2319" t="s">
        <v>70</v>
      </c>
    </row>
    <row r="2320" spans="1:3" x14ac:dyDescent="0.25">
      <c r="A2320" t="str">
        <f>"330799057"</f>
        <v>330799057</v>
      </c>
      <c r="B2320" t="str">
        <f>"EHPAD RESIDENCE PAUL CLAUDEL"</f>
        <v>EHPAD RESIDENCE PAUL CLAUDEL</v>
      </c>
      <c r="C2320" t="s">
        <v>70</v>
      </c>
    </row>
    <row r="2321" spans="1:3" x14ac:dyDescent="0.25">
      <c r="A2321" t="str">
        <f>"330799073"</f>
        <v>330799073</v>
      </c>
      <c r="B2321" t="str">
        <f>"EHPAD PAGNEAU"</f>
        <v>EHPAD PAGNEAU</v>
      </c>
      <c r="C2321" t="s">
        <v>70</v>
      </c>
    </row>
    <row r="2322" spans="1:3" x14ac:dyDescent="0.25">
      <c r="A2322" t="str">
        <f>"330799081"</f>
        <v>330799081</v>
      </c>
      <c r="B2322" t="str">
        <f>"EHPAD RESIDENCE DU DUC DE LORGE"</f>
        <v>EHPAD RESIDENCE DU DUC DE LORGE</v>
      </c>
      <c r="C2322" t="s">
        <v>70</v>
      </c>
    </row>
    <row r="2323" spans="1:3" x14ac:dyDescent="0.25">
      <c r="A2323" t="str">
        <f>"330799172"</f>
        <v>330799172</v>
      </c>
      <c r="B2323" t="str">
        <f>"EHPAD LE RELAIS (S)"</f>
        <v>EHPAD LE RELAIS (S)</v>
      </c>
      <c r="C2323" t="s">
        <v>70</v>
      </c>
    </row>
    <row r="2324" spans="1:3" x14ac:dyDescent="0.25">
      <c r="A2324" t="str">
        <f>"330799198"</f>
        <v>330799198</v>
      </c>
      <c r="B2324" t="str">
        <f>"EHPAD KORIAN VILLA BONTEMPS"</f>
        <v>EHPAD KORIAN VILLA BONTEMPS</v>
      </c>
      <c r="C2324" t="s">
        <v>70</v>
      </c>
    </row>
    <row r="2325" spans="1:3" x14ac:dyDescent="0.25">
      <c r="A2325" t="str">
        <f>"330799230"</f>
        <v>330799230</v>
      </c>
      <c r="B2325" t="str">
        <f>"EHPAD LES JARDINS DE L'OMBRIERE"</f>
        <v>EHPAD LES JARDINS DE L'OMBRIERE</v>
      </c>
      <c r="C2325" t="s">
        <v>70</v>
      </c>
    </row>
    <row r="2326" spans="1:3" x14ac:dyDescent="0.25">
      <c r="A2326" t="str">
        <f>"330799263"</f>
        <v>330799263</v>
      </c>
      <c r="B2326" t="str">
        <f>"EHPAD LA CHENERAIE"</f>
        <v>EHPAD LA CHENERAIE</v>
      </c>
      <c r="C2326" t="s">
        <v>70</v>
      </c>
    </row>
    <row r="2327" spans="1:3" x14ac:dyDescent="0.25">
      <c r="A2327" t="str">
        <f>"330799297"</f>
        <v>330799297</v>
      </c>
      <c r="B2327" t="str">
        <f>"EHPAD HENRY DUNANT"</f>
        <v>EHPAD HENRY DUNANT</v>
      </c>
      <c r="C2327" t="s">
        <v>70</v>
      </c>
    </row>
    <row r="2328" spans="1:3" x14ac:dyDescent="0.25">
      <c r="A2328" t="str">
        <f>"330799347"</f>
        <v>330799347</v>
      </c>
      <c r="B2328" t="str">
        <f>"EHPAD  RESIDENCE  VERMEIL"</f>
        <v>EHPAD  RESIDENCE  VERMEIL</v>
      </c>
      <c r="C2328" t="s">
        <v>70</v>
      </c>
    </row>
    <row r="2329" spans="1:3" x14ac:dyDescent="0.25">
      <c r="A2329" t="str">
        <f>"330799388"</f>
        <v>330799388</v>
      </c>
      <c r="B2329" t="str">
        <f>"EHPAD LES JARDINS DE CAUDERAN"</f>
        <v>EHPAD LES JARDINS DE CAUDERAN</v>
      </c>
      <c r="C2329" t="s">
        <v>70</v>
      </c>
    </row>
    <row r="2330" spans="1:3" x14ac:dyDescent="0.25">
      <c r="A2330" t="str">
        <f>"330799404"</f>
        <v>330799404</v>
      </c>
      <c r="B2330" t="str">
        <f>"EHPAD VILLA DES CINQ SENTES"</f>
        <v>EHPAD VILLA DES CINQ SENTES</v>
      </c>
      <c r="C2330" t="s">
        <v>70</v>
      </c>
    </row>
    <row r="2331" spans="1:3" x14ac:dyDescent="0.25">
      <c r="A2331" t="str">
        <f>"330799412"</f>
        <v>330799412</v>
      </c>
      <c r="B2331" t="str">
        <f>"EHPAD RESIDENCE LA CANOPEE"</f>
        <v>EHPAD RESIDENCE LA CANOPEE</v>
      </c>
      <c r="C2331" t="s">
        <v>70</v>
      </c>
    </row>
    <row r="2332" spans="1:3" x14ac:dyDescent="0.25">
      <c r="A2332" t="str">
        <f>"330799461"</f>
        <v>330799461</v>
      </c>
      <c r="B2332" t="str">
        <f>"EHPAD RESIDENCE ABELIA"</f>
        <v>EHPAD RESIDENCE ABELIA</v>
      </c>
      <c r="C2332" t="s">
        <v>70</v>
      </c>
    </row>
    <row r="2333" spans="1:3" x14ac:dyDescent="0.25">
      <c r="A2333" t="str">
        <f>"330799776"</f>
        <v>330799776</v>
      </c>
      <c r="B2333" t="str">
        <f>"EHPAD LE BOIS DE SEMIGNAN"</f>
        <v>EHPAD LE BOIS DE SEMIGNAN</v>
      </c>
      <c r="C2333" t="s">
        <v>70</v>
      </c>
    </row>
    <row r="2334" spans="1:3" x14ac:dyDescent="0.25">
      <c r="A2334" t="str">
        <f>"330799784"</f>
        <v>330799784</v>
      </c>
      <c r="B2334" t="str">
        <f>"EHPAD RESIDENCE LE VERGER D'ANNA"</f>
        <v>EHPAD RESIDENCE LE VERGER D'ANNA</v>
      </c>
      <c r="C2334" t="s">
        <v>70</v>
      </c>
    </row>
    <row r="2335" spans="1:3" x14ac:dyDescent="0.25">
      <c r="A2335" t="str">
        <f>"330799792"</f>
        <v>330799792</v>
      </c>
      <c r="B2335" t="str">
        <f>"EHPAD LA CHARTREUSE"</f>
        <v>EHPAD LA CHARTREUSE</v>
      </c>
      <c r="C2335" t="s">
        <v>70</v>
      </c>
    </row>
    <row r="2336" spans="1:3" x14ac:dyDescent="0.25">
      <c r="A2336" t="str">
        <f>"330799925"</f>
        <v>330799925</v>
      </c>
      <c r="B2336" t="str">
        <f>"EHPAD LES BOIS DE LANDECOTTE"</f>
        <v>EHPAD LES BOIS DE LANDECOTTE</v>
      </c>
      <c r="C2336" t="s">
        <v>70</v>
      </c>
    </row>
    <row r="2337" spans="1:3" x14ac:dyDescent="0.25">
      <c r="A2337" t="str">
        <f>"330800087"</f>
        <v>330800087</v>
      </c>
      <c r="B2337" t="str">
        <f>"EHPAD RESIDENCE LES CHARMILLES"</f>
        <v>EHPAD RESIDENCE LES CHARMILLES</v>
      </c>
      <c r="C2337" t="s">
        <v>70</v>
      </c>
    </row>
    <row r="2338" spans="1:3" x14ac:dyDescent="0.25">
      <c r="A2338" t="str">
        <f>"330800178"</f>
        <v>330800178</v>
      </c>
      <c r="B2338" t="str">
        <f>"EHPAD LA CHENAIE"</f>
        <v>EHPAD LA CHENAIE</v>
      </c>
      <c r="C2338" t="s">
        <v>70</v>
      </c>
    </row>
    <row r="2339" spans="1:3" x14ac:dyDescent="0.25">
      <c r="A2339" t="str">
        <f>"330800228"</f>
        <v>330800228</v>
      </c>
      <c r="B2339" t="str">
        <f>"EHPAD LES JARDINS D'IROISE DE BLAYE"</f>
        <v>EHPAD LES JARDINS D'IROISE DE BLAYE</v>
      </c>
      <c r="C2339" t="s">
        <v>70</v>
      </c>
    </row>
    <row r="2340" spans="1:3" x14ac:dyDescent="0.25">
      <c r="A2340" t="str">
        <f>"330800327"</f>
        <v>330800327</v>
      </c>
      <c r="B2340" t="str">
        <f>"EHPAD LE CLOS SAINT MARTIN"</f>
        <v>EHPAD LE CLOS SAINT MARTIN</v>
      </c>
      <c r="C2340" t="s">
        <v>70</v>
      </c>
    </row>
    <row r="2341" spans="1:3" x14ac:dyDescent="0.25">
      <c r="A2341" t="str">
        <f>"330802141"</f>
        <v>330802141</v>
      </c>
      <c r="B2341" t="str">
        <f>"EHPAD LOUIS BRAILLE - RES AVEUGLES"</f>
        <v>EHPAD LOUIS BRAILLE - RES AVEUGLES</v>
      </c>
      <c r="C2341" t="s">
        <v>70</v>
      </c>
    </row>
    <row r="2342" spans="1:3" x14ac:dyDescent="0.25">
      <c r="A2342" t="str">
        <f>"330802588"</f>
        <v>330802588</v>
      </c>
      <c r="B2342" t="str">
        <f>"MAISON DE RETRAITE LES BOULEAUX"</f>
        <v>MAISON DE RETRAITE LES BOULEAUX</v>
      </c>
      <c r="C2342" t="s">
        <v>70</v>
      </c>
    </row>
    <row r="2343" spans="1:3" x14ac:dyDescent="0.25">
      <c r="A2343" t="str">
        <f>"330802786"</f>
        <v>330802786</v>
      </c>
      <c r="B2343" t="str">
        <f>"EHPAD LE VERGER DU COTEAU"</f>
        <v>EHPAD LE VERGER DU COTEAU</v>
      </c>
      <c r="C2343" t="s">
        <v>70</v>
      </c>
    </row>
    <row r="2344" spans="1:3" x14ac:dyDescent="0.25">
      <c r="A2344" t="str">
        <f>"330802968"</f>
        <v>330802968</v>
      </c>
      <c r="B2344" t="str">
        <f>"EHPAD ENTRE DEUX MERS"</f>
        <v>EHPAD ENTRE DEUX MERS</v>
      </c>
      <c r="C2344" t="s">
        <v>70</v>
      </c>
    </row>
    <row r="2345" spans="1:3" x14ac:dyDescent="0.25">
      <c r="A2345" t="str">
        <f>"330802976"</f>
        <v>330802976</v>
      </c>
      <c r="B2345" t="str">
        <f>"EHPAD PARC DU BEQUET"</f>
        <v>EHPAD PARC DU BEQUET</v>
      </c>
      <c r="C2345" t="s">
        <v>70</v>
      </c>
    </row>
    <row r="2346" spans="1:3" x14ac:dyDescent="0.25">
      <c r="A2346" t="str">
        <f>"330803321"</f>
        <v>330803321</v>
      </c>
      <c r="B2346" t="str">
        <f>"EHPAD TROPAYSE"</f>
        <v>EHPAD TROPAYSE</v>
      </c>
      <c r="C2346" t="s">
        <v>70</v>
      </c>
    </row>
    <row r="2347" spans="1:3" x14ac:dyDescent="0.25">
      <c r="A2347" t="str">
        <f>"330803669"</f>
        <v>330803669</v>
      </c>
      <c r="B2347" t="str">
        <f>"EHPAD MAISON DE FONTAUDIN"</f>
        <v>EHPAD MAISON DE FONTAUDIN</v>
      </c>
      <c r="C2347" t="s">
        <v>70</v>
      </c>
    </row>
    <row r="2348" spans="1:3" x14ac:dyDescent="0.25">
      <c r="A2348" t="str">
        <f>"330803933"</f>
        <v>330803933</v>
      </c>
      <c r="B2348" t="str">
        <f>"EHPAD KORIAN CLOS SERENA"</f>
        <v>EHPAD KORIAN CLOS SERENA</v>
      </c>
      <c r="C2348" t="s">
        <v>70</v>
      </c>
    </row>
    <row r="2349" spans="1:3" x14ac:dyDescent="0.25">
      <c r="A2349" t="str">
        <f>"330804394"</f>
        <v>330804394</v>
      </c>
      <c r="B2349" t="str">
        <f>"EHPAD CH DE BAZAS - SITE VILLANDRAUT"</f>
        <v>EHPAD CH DE BAZAS - SITE VILLANDRAUT</v>
      </c>
      <c r="C2349" t="s">
        <v>70</v>
      </c>
    </row>
    <row r="2350" spans="1:3" x14ac:dyDescent="0.25">
      <c r="A2350" t="str">
        <f>"330804469"</f>
        <v>330804469</v>
      </c>
      <c r="B2350" t="str">
        <f>"EHPAD LE MONT DES LANDES"</f>
        <v>EHPAD LE MONT DES LANDES</v>
      </c>
      <c r="C2350" t="s">
        <v>70</v>
      </c>
    </row>
    <row r="2351" spans="1:3" x14ac:dyDescent="0.25">
      <c r="A2351" t="str">
        <f>"340006816"</f>
        <v>340006816</v>
      </c>
      <c r="B2351" t="str">
        <f>"EHPAD L'ORTHUS"</f>
        <v>EHPAD L'ORTHUS</v>
      </c>
      <c r="C2351" t="s">
        <v>77</v>
      </c>
    </row>
    <row r="2352" spans="1:3" x14ac:dyDescent="0.25">
      <c r="A2352" t="str">
        <f>"340006881"</f>
        <v>340006881</v>
      </c>
      <c r="B2352" t="str">
        <f>"EHPAD LES REFLETS D'ARGENT"</f>
        <v>EHPAD LES REFLETS D'ARGENT</v>
      </c>
      <c r="C2352" t="s">
        <v>77</v>
      </c>
    </row>
    <row r="2353" spans="1:3" x14ac:dyDescent="0.25">
      <c r="A2353" t="str">
        <f>"340006949"</f>
        <v>340006949</v>
      </c>
      <c r="B2353" t="str">
        <f>"EHPAD LA POESIE"</f>
        <v>EHPAD LA POESIE</v>
      </c>
      <c r="C2353" t="s">
        <v>77</v>
      </c>
    </row>
    <row r="2354" spans="1:3" x14ac:dyDescent="0.25">
      <c r="A2354" t="str">
        <f>"340008192"</f>
        <v>340008192</v>
      </c>
      <c r="B2354" t="str">
        <f>"EHPAD LES JARDINS DU CANALET"</f>
        <v>EHPAD LES JARDINS DU CANALET</v>
      </c>
      <c r="C2354" t="s">
        <v>77</v>
      </c>
    </row>
    <row r="2355" spans="1:3" x14ac:dyDescent="0.25">
      <c r="A2355" t="str">
        <f>"340008788"</f>
        <v>340008788</v>
      </c>
      <c r="B2355" t="str">
        <f>"EHPAD L'ESTAGNOL HBT"</f>
        <v>EHPAD L'ESTAGNOL HBT</v>
      </c>
      <c r="C2355" t="s">
        <v>77</v>
      </c>
    </row>
    <row r="2356" spans="1:3" x14ac:dyDescent="0.25">
      <c r="A2356" t="str">
        <f>"340010040"</f>
        <v>340010040</v>
      </c>
      <c r="B2356" t="str">
        <f>"EHPAD LA PALMERAIE"</f>
        <v>EHPAD LA PALMERAIE</v>
      </c>
      <c r="C2356" t="s">
        <v>77</v>
      </c>
    </row>
    <row r="2357" spans="1:3" x14ac:dyDescent="0.25">
      <c r="A2357" t="str">
        <f>"340010206"</f>
        <v>340010206</v>
      </c>
      <c r="B2357" t="str">
        <f>"EHPAD LE COULAZOU"</f>
        <v>EHPAD LE COULAZOU</v>
      </c>
      <c r="C2357" t="s">
        <v>77</v>
      </c>
    </row>
    <row r="2358" spans="1:3" x14ac:dyDescent="0.25">
      <c r="A2358" t="str">
        <f>"340011345"</f>
        <v>340011345</v>
      </c>
      <c r="B2358" t="str">
        <f>"EHPAD KORIAN LA COLOMBE"</f>
        <v>EHPAD KORIAN LA COLOMBE</v>
      </c>
      <c r="C2358" t="s">
        <v>77</v>
      </c>
    </row>
    <row r="2359" spans="1:3" x14ac:dyDescent="0.25">
      <c r="A2359" t="str">
        <f>"340011352"</f>
        <v>340011352</v>
      </c>
      <c r="B2359" t="str">
        <f>"EHPAD LES MUSCATES"</f>
        <v>EHPAD LES MUSCATES</v>
      </c>
      <c r="C2359" t="s">
        <v>77</v>
      </c>
    </row>
    <row r="2360" spans="1:3" x14ac:dyDescent="0.25">
      <c r="A2360" t="str">
        <f>"340011477"</f>
        <v>340011477</v>
      </c>
      <c r="B2360" t="str">
        <f>"EHPAD LES JARDINS DES TUILERIES"</f>
        <v>EHPAD LES JARDINS DES TUILERIES</v>
      </c>
      <c r="C2360" t="s">
        <v>77</v>
      </c>
    </row>
    <row r="2361" spans="1:3" x14ac:dyDescent="0.25">
      <c r="A2361" t="str">
        <f>"340014141"</f>
        <v>340014141</v>
      </c>
      <c r="B2361" t="str">
        <f>"EHPAD LES AIGUEILLERES"</f>
        <v>EHPAD LES AIGUEILLERES</v>
      </c>
      <c r="C2361" t="s">
        <v>77</v>
      </c>
    </row>
    <row r="2362" spans="1:3" x14ac:dyDescent="0.25">
      <c r="A2362" t="str">
        <f>"340014174"</f>
        <v>340014174</v>
      </c>
      <c r="B2362" t="str">
        <f>"EHPAD LA ROSELIERE"</f>
        <v>EHPAD LA ROSELIERE</v>
      </c>
      <c r="C2362" t="s">
        <v>77</v>
      </c>
    </row>
    <row r="2363" spans="1:3" x14ac:dyDescent="0.25">
      <c r="A2363" t="str">
        <f>"340014190"</f>
        <v>340014190</v>
      </c>
      <c r="B2363" t="str">
        <f>"EHPAD MATHILDE LAURENT"</f>
        <v>EHPAD MATHILDE LAURENT</v>
      </c>
      <c r="C2363" t="s">
        <v>77</v>
      </c>
    </row>
    <row r="2364" spans="1:3" x14ac:dyDescent="0.25">
      <c r="A2364" t="str">
        <f>"340014240"</f>
        <v>340014240</v>
      </c>
      <c r="B2364" t="str">
        <f>"EHPAD LES ASTERIES"</f>
        <v>EHPAD LES ASTERIES</v>
      </c>
      <c r="C2364" t="s">
        <v>77</v>
      </c>
    </row>
    <row r="2365" spans="1:3" x14ac:dyDescent="0.25">
      <c r="A2365" t="str">
        <f>"340014323"</f>
        <v>340014323</v>
      </c>
      <c r="B2365" t="str">
        <f>"EHPAD SUDALIA"</f>
        <v>EHPAD SUDALIA</v>
      </c>
      <c r="C2365" t="s">
        <v>77</v>
      </c>
    </row>
    <row r="2366" spans="1:3" x14ac:dyDescent="0.25">
      <c r="A2366" t="str">
        <f>"340014356"</f>
        <v>340014356</v>
      </c>
      <c r="B2366" t="str">
        <f>"EHPAD LES LAVANDES"</f>
        <v>EHPAD LES LAVANDES</v>
      </c>
      <c r="C2366" t="s">
        <v>77</v>
      </c>
    </row>
    <row r="2367" spans="1:3" x14ac:dyDescent="0.25">
      <c r="A2367" t="str">
        <f>"340014703"</f>
        <v>340014703</v>
      </c>
      <c r="B2367" t="str">
        <f>"EHPAD LES JARDINS DE BADONES"</f>
        <v>EHPAD LES JARDINS DE BADONES</v>
      </c>
      <c r="C2367" t="s">
        <v>77</v>
      </c>
    </row>
    <row r="2368" spans="1:3" x14ac:dyDescent="0.25">
      <c r="A2368" t="str">
        <f>"340014893"</f>
        <v>340014893</v>
      </c>
      <c r="B2368" t="str">
        <f>"EHPAD LE CLOS DES OLIVIERS"</f>
        <v>EHPAD LE CLOS DES OLIVIERS</v>
      </c>
      <c r="C2368" t="s">
        <v>77</v>
      </c>
    </row>
    <row r="2369" spans="1:3" x14ac:dyDescent="0.25">
      <c r="A2369" t="str">
        <f>"340015015"</f>
        <v>340015015</v>
      </c>
      <c r="B2369" t="str">
        <f>"EHPAD LA MURELLE"</f>
        <v>EHPAD LA MURELLE</v>
      </c>
      <c r="C2369" t="s">
        <v>77</v>
      </c>
    </row>
    <row r="2370" spans="1:3" x14ac:dyDescent="0.25">
      <c r="A2370" t="str">
        <f>"340016690"</f>
        <v>340016690</v>
      </c>
      <c r="B2370" t="str">
        <f>"EHPAD LES JARDINS D'ADOYRA"</f>
        <v>EHPAD LES JARDINS D'ADOYRA</v>
      </c>
      <c r="C2370" t="s">
        <v>77</v>
      </c>
    </row>
    <row r="2371" spans="1:3" x14ac:dyDescent="0.25">
      <c r="A2371" t="str">
        <f>"340017136"</f>
        <v>340017136</v>
      </c>
      <c r="B2371" t="str">
        <f>"EHPAD VIA DOMITIA"</f>
        <v>EHPAD VIA DOMITIA</v>
      </c>
      <c r="C2371" t="s">
        <v>77</v>
      </c>
    </row>
    <row r="2372" spans="1:3" x14ac:dyDescent="0.25">
      <c r="A2372" t="str">
        <f>"340017151"</f>
        <v>340017151</v>
      </c>
      <c r="B2372" t="str">
        <f>"EHPAD LA ROSELIERE"</f>
        <v>EHPAD LA ROSELIERE</v>
      </c>
      <c r="C2372" t="s">
        <v>77</v>
      </c>
    </row>
    <row r="2373" spans="1:3" x14ac:dyDescent="0.25">
      <c r="A2373" t="str">
        <f>"340017177"</f>
        <v>340017177</v>
      </c>
      <c r="B2373" t="str">
        <f>"EHPAD LA MAISON ENSOLEILLEE"</f>
        <v>EHPAD LA MAISON ENSOLEILLEE</v>
      </c>
      <c r="C2373" t="s">
        <v>77</v>
      </c>
    </row>
    <row r="2374" spans="1:3" x14ac:dyDescent="0.25">
      <c r="A2374" t="str">
        <f>"340017193"</f>
        <v>340017193</v>
      </c>
      <c r="B2374" t="str">
        <f>"EHPAD RESIDENCE SAINT LOUIS DU GOLFE"</f>
        <v>EHPAD RESIDENCE SAINT LOUIS DU GOLFE</v>
      </c>
      <c r="C2374" t="s">
        <v>77</v>
      </c>
    </row>
    <row r="2375" spans="1:3" x14ac:dyDescent="0.25">
      <c r="A2375" t="str">
        <f>"340017326"</f>
        <v>340017326</v>
      </c>
      <c r="B2375" t="str">
        <f>"EHPAD TERRE BLANCHE"</f>
        <v>EHPAD TERRE BLANCHE</v>
      </c>
      <c r="C2375" t="s">
        <v>77</v>
      </c>
    </row>
    <row r="2376" spans="1:3" x14ac:dyDescent="0.25">
      <c r="A2376" t="str">
        <f>"340017342"</f>
        <v>340017342</v>
      </c>
      <c r="B2376" t="str">
        <f>"EHPAD L'OREE DU PECH"</f>
        <v>EHPAD L'OREE DU PECH</v>
      </c>
      <c r="C2376" t="s">
        <v>77</v>
      </c>
    </row>
    <row r="2377" spans="1:3" x14ac:dyDescent="0.25">
      <c r="A2377" t="str">
        <f>"340017359"</f>
        <v>340017359</v>
      </c>
      <c r="B2377" t="str">
        <f>"EHPAD LOUIS FONOLL"</f>
        <v>EHPAD LOUIS FONOLL</v>
      </c>
      <c r="C2377" t="s">
        <v>77</v>
      </c>
    </row>
    <row r="2378" spans="1:3" x14ac:dyDescent="0.25">
      <c r="A2378" t="str">
        <f>"340017367"</f>
        <v>340017367</v>
      </c>
      <c r="B2378" t="str">
        <f>"EHPAD LE LOGIS DE HAUTE ROCHE"</f>
        <v>EHPAD LE LOGIS DE HAUTE ROCHE</v>
      </c>
      <c r="C2378" t="s">
        <v>77</v>
      </c>
    </row>
    <row r="2379" spans="1:3" x14ac:dyDescent="0.25">
      <c r="A2379" t="str">
        <f>"340017425"</f>
        <v>340017425</v>
      </c>
      <c r="B2379" t="str">
        <f>"EHPAD LE MAS DE MARGUERITE"</f>
        <v>EHPAD LE MAS DE MARGUERITE</v>
      </c>
      <c r="C2379" t="s">
        <v>77</v>
      </c>
    </row>
    <row r="2380" spans="1:3" x14ac:dyDescent="0.25">
      <c r="A2380" t="str">
        <f>"340017474"</f>
        <v>340017474</v>
      </c>
      <c r="B2380" t="str">
        <f>"EHPAD L'ECRIN DES SAGES"</f>
        <v>EHPAD L'ECRIN DES SAGES</v>
      </c>
      <c r="C2380" t="s">
        <v>77</v>
      </c>
    </row>
    <row r="2381" spans="1:3" x14ac:dyDescent="0.25">
      <c r="A2381" t="str">
        <f>"340017508"</f>
        <v>340017508</v>
      </c>
      <c r="B2381" t="str">
        <f>"EHPAD GERARD SOULATGES"</f>
        <v>EHPAD GERARD SOULATGES</v>
      </c>
      <c r="C2381" t="s">
        <v>77</v>
      </c>
    </row>
    <row r="2382" spans="1:3" x14ac:dyDescent="0.25">
      <c r="A2382" t="str">
        <f>"340017516"</f>
        <v>340017516</v>
      </c>
      <c r="B2382" t="str">
        <f>"EHPAD LES JARDINS DE LA FONTAINE"</f>
        <v>EHPAD LES JARDINS DE LA FONTAINE</v>
      </c>
      <c r="C2382" t="s">
        <v>77</v>
      </c>
    </row>
    <row r="2383" spans="1:3" x14ac:dyDescent="0.25">
      <c r="A2383" t="str">
        <f>"340017532"</f>
        <v>340017532</v>
      </c>
      <c r="B2383" t="str">
        <f>"EHPAD LA MARTEGALE"</f>
        <v>EHPAD LA MARTEGALE</v>
      </c>
      <c r="C2383" t="s">
        <v>77</v>
      </c>
    </row>
    <row r="2384" spans="1:3" x14ac:dyDescent="0.25">
      <c r="A2384" t="str">
        <f>"340017573"</f>
        <v>340017573</v>
      </c>
      <c r="B2384" t="str">
        <f>"EHPAD TERRAROSSA"</f>
        <v>EHPAD TERRAROSSA</v>
      </c>
      <c r="C2384" t="s">
        <v>77</v>
      </c>
    </row>
    <row r="2385" spans="1:3" x14ac:dyDescent="0.25">
      <c r="A2385" t="str">
        <f>"340017581"</f>
        <v>340017581</v>
      </c>
      <c r="B2385" t="str">
        <f>"EHPAD LA JOLIVADE"</f>
        <v>EHPAD LA JOLIVADE</v>
      </c>
      <c r="C2385" t="s">
        <v>77</v>
      </c>
    </row>
    <row r="2386" spans="1:3" x14ac:dyDescent="0.25">
      <c r="A2386" t="str">
        <f>"340017672"</f>
        <v>340017672</v>
      </c>
      <c r="B2386" t="str">
        <f>"EHPAD L'OSTAL DU LAC"</f>
        <v>EHPAD L'OSTAL DU LAC</v>
      </c>
      <c r="C2386" t="s">
        <v>77</v>
      </c>
    </row>
    <row r="2387" spans="1:3" x14ac:dyDescent="0.25">
      <c r="A2387" t="str">
        <f>"340017680"</f>
        <v>340017680</v>
      </c>
      <c r="B2387" t="str">
        <f>"EHPAD PIERRE LAROQUE"</f>
        <v>EHPAD PIERRE LAROQUE</v>
      </c>
      <c r="C2387" t="s">
        <v>77</v>
      </c>
    </row>
    <row r="2388" spans="1:3" x14ac:dyDescent="0.25">
      <c r="A2388" t="str">
        <f>"340017763"</f>
        <v>340017763</v>
      </c>
      <c r="B2388" t="str">
        <f>"EHPAD LES CASCADES"</f>
        <v>EHPAD LES CASCADES</v>
      </c>
      <c r="C2388" t="s">
        <v>77</v>
      </c>
    </row>
    <row r="2389" spans="1:3" x14ac:dyDescent="0.25">
      <c r="A2389" t="str">
        <f>"340017797"</f>
        <v>340017797</v>
      </c>
      <c r="B2389" t="str">
        <f>"EHPAD LA MADELON"</f>
        <v>EHPAD LA MADELON</v>
      </c>
      <c r="C2389" t="s">
        <v>77</v>
      </c>
    </row>
    <row r="2390" spans="1:3" x14ac:dyDescent="0.25">
      <c r="A2390" t="str">
        <f>"340018019"</f>
        <v>340018019</v>
      </c>
      <c r="B2390" t="str">
        <f>"EHPAD LES JARDINS DE BRESCOU"</f>
        <v>EHPAD LES JARDINS DE BRESCOU</v>
      </c>
      <c r="C2390" t="s">
        <v>77</v>
      </c>
    </row>
    <row r="2391" spans="1:3" x14ac:dyDescent="0.25">
      <c r="A2391" t="str">
        <f>"340018035"</f>
        <v>340018035</v>
      </c>
      <c r="B2391" t="str">
        <f>"EHPAD KORIAN LES TAMARIS"</f>
        <v>EHPAD KORIAN LES TAMARIS</v>
      </c>
      <c r="C2391" t="s">
        <v>77</v>
      </c>
    </row>
    <row r="2392" spans="1:3" x14ac:dyDescent="0.25">
      <c r="A2392" t="str">
        <f>"340018092"</f>
        <v>340018092</v>
      </c>
      <c r="B2392" t="str">
        <f>"EHPAD MALBOSC"</f>
        <v>EHPAD MALBOSC</v>
      </c>
      <c r="C2392" t="s">
        <v>77</v>
      </c>
    </row>
    <row r="2393" spans="1:3" x14ac:dyDescent="0.25">
      <c r="A2393" t="str">
        <f>"340018134"</f>
        <v>340018134</v>
      </c>
      <c r="B2393" t="str">
        <f>"EHPAD LES ROMARINS"</f>
        <v>EHPAD LES ROMARINS</v>
      </c>
      <c r="C2393" t="s">
        <v>77</v>
      </c>
    </row>
    <row r="2394" spans="1:3" x14ac:dyDescent="0.25">
      <c r="A2394" t="str">
        <f>"340018159"</f>
        <v>340018159</v>
      </c>
      <c r="B2394" t="str">
        <f>"EHPAD LES JARDINS D'ANIANE"</f>
        <v>EHPAD LES JARDINS D'ANIANE</v>
      </c>
      <c r="C2394" t="s">
        <v>77</v>
      </c>
    </row>
    <row r="2395" spans="1:3" x14ac:dyDescent="0.25">
      <c r="A2395" t="str">
        <f>"340018860"</f>
        <v>340018860</v>
      </c>
      <c r="B2395" t="str">
        <f>"EHPAD L'OCCITANE"</f>
        <v>EHPAD L'OCCITANE</v>
      </c>
      <c r="C2395" t="s">
        <v>77</v>
      </c>
    </row>
    <row r="2396" spans="1:3" x14ac:dyDescent="0.25">
      <c r="A2396" t="str">
        <f>"340019280"</f>
        <v>340019280</v>
      </c>
      <c r="B2396" t="str">
        <f>"EHPAD FRANCOISE GAUFFIER"</f>
        <v>EHPAD FRANCOISE GAUFFIER</v>
      </c>
      <c r="C2396" t="s">
        <v>77</v>
      </c>
    </row>
    <row r="2397" spans="1:3" x14ac:dyDescent="0.25">
      <c r="A2397" t="str">
        <f>"340019504"</f>
        <v>340019504</v>
      </c>
      <c r="B2397" t="str">
        <f>"EHPAD VILLA CLEMENTIA"</f>
        <v>EHPAD VILLA CLEMENTIA</v>
      </c>
      <c r="C2397" t="s">
        <v>77</v>
      </c>
    </row>
    <row r="2398" spans="1:3" x14ac:dyDescent="0.25">
      <c r="A2398" t="str">
        <f>"340019512"</f>
        <v>340019512</v>
      </c>
      <c r="B2398" t="str">
        <f>"EHPAD VILLA IMPRESSA"</f>
        <v>EHPAD VILLA IMPRESSA</v>
      </c>
      <c r="C2398" t="s">
        <v>77</v>
      </c>
    </row>
    <row r="2399" spans="1:3" x14ac:dyDescent="0.25">
      <c r="A2399" t="str">
        <f>"340019629"</f>
        <v>340019629</v>
      </c>
      <c r="B2399" t="str">
        <f>"EHPAD LES MAISONNEES LAVALETTE"</f>
        <v>EHPAD LES MAISONNEES LAVALETTE</v>
      </c>
      <c r="C2399" t="s">
        <v>77</v>
      </c>
    </row>
    <row r="2400" spans="1:3" x14ac:dyDescent="0.25">
      <c r="A2400" t="str">
        <f>"340019769"</f>
        <v>340019769</v>
      </c>
      <c r="B2400" t="str">
        <f>"EHPAD LES JARDINS D'EULALIE"</f>
        <v>EHPAD LES JARDINS D'EULALIE</v>
      </c>
      <c r="C2400" t="s">
        <v>77</v>
      </c>
    </row>
    <row r="2401" spans="1:3" x14ac:dyDescent="0.25">
      <c r="A2401" t="str">
        <f>"340021237"</f>
        <v>340021237</v>
      </c>
      <c r="B2401" t="str">
        <f>"EHPAD LES TERRASSES DU CAROUX"</f>
        <v>EHPAD LES TERRASSES DU CAROUX</v>
      </c>
      <c r="C2401" t="s">
        <v>77</v>
      </c>
    </row>
    <row r="2402" spans="1:3" x14ac:dyDescent="0.25">
      <c r="A2402" t="str">
        <f>"340021252"</f>
        <v>340021252</v>
      </c>
      <c r="B2402" t="str">
        <f>"EHPAD LE GRAND CHAI"</f>
        <v>EHPAD LE GRAND CHAI</v>
      </c>
      <c r="C2402" t="s">
        <v>77</v>
      </c>
    </row>
    <row r="2403" spans="1:3" x14ac:dyDescent="0.25">
      <c r="A2403" t="str">
        <f>"340021419"</f>
        <v>340021419</v>
      </c>
      <c r="B2403" t="str">
        <f>"EHPAD SAINT ANTOINE"</f>
        <v>EHPAD SAINT ANTOINE</v>
      </c>
      <c r="C2403" t="s">
        <v>77</v>
      </c>
    </row>
    <row r="2404" spans="1:3" x14ac:dyDescent="0.25">
      <c r="A2404" t="str">
        <f>"340028679"</f>
        <v>340028679</v>
      </c>
      <c r="B2404" t="str">
        <f>"EHPAD CH LUNEL - SITE DE BRUNEL"</f>
        <v>EHPAD CH LUNEL - SITE DE BRUNEL</v>
      </c>
      <c r="C2404" t="s">
        <v>77</v>
      </c>
    </row>
    <row r="2405" spans="1:3" x14ac:dyDescent="0.25">
      <c r="A2405" t="str">
        <f>"340781418"</f>
        <v>340781418</v>
      </c>
      <c r="B2405" t="str">
        <f>"EHPAD LE JARDIN DES AINES"</f>
        <v>EHPAD LE JARDIN DES AINES</v>
      </c>
      <c r="C2405" t="s">
        <v>77</v>
      </c>
    </row>
    <row r="2406" spans="1:3" x14ac:dyDescent="0.25">
      <c r="A2406" t="str">
        <f>"340781426"</f>
        <v>340781426</v>
      </c>
      <c r="B2406" t="str">
        <f>"EHPAD SIMONE DE BEAUVOIR"</f>
        <v>EHPAD SIMONE DE BEAUVOIR</v>
      </c>
      <c r="C2406" t="s">
        <v>77</v>
      </c>
    </row>
    <row r="2407" spans="1:3" x14ac:dyDescent="0.25">
      <c r="A2407" t="str">
        <f>"340781434"</f>
        <v>340781434</v>
      </c>
      <c r="B2407" t="str">
        <f>"EHPAD ST JACQUES"</f>
        <v>EHPAD ST JACQUES</v>
      </c>
      <c r="C2407" t="s">
        <v>77</v>
      </c>
    </row>
    <row r="2408" spans="1:3" x14ac:dyDescent="0.25">
      <c r="A2408" t="str">
        <f>"340781442"</f>
        <v>340781442</v>
      </c>
      <c r="B2408" t="str">
        <f>"EHPAD CLAUDE GOUDET HBT"</f>
        <v>EHPAD CLAUDE GOUDET HBT</v>
      </c>
      <c r="C2408" t="s">
        <v>77</v>
      </c>
    </row>
    <row r="2409" spans="1:3" x14ac:dyDescent="0.25">
      <c r="A2409" t="str">
        <f>"340781467"</f>
        <v>340781467</v>
      </c>
      <c r="B2409" t="str">
        <f>"EHPAD LES OLIVIERS"</f>
        <v>EHPAD LES OLIVIERS</v>
      </c>
      <c r="C2409" t="s">
        <v>77</v>
      </c>
    </row>
    <row r="2410" spans="1:3" x14ac:dyDescent="0.25">
      <c r="A2410" t="str">
        <f>"340781475"</f>
        <v>340781475</v>
      </c>
      <c r="B2410" t="str">
        <f>"EHPAD LOU REDOUNDEL"</f>
        <v>EHPAD LOU REDOUNDEL</v>
      </c>
      <c r="C2410" t="s">
        <v>77</v>
      </c>
    </row>
    <row r="2411" spans="1:3" x14ac:dyDescent="0.25">
      <c r="A2411" t="str">
        <f>"340781483"</f>
        <v>340781483</v>
      </c>
      <c r="B2411" t="str">
        <f>"EHPAD LE FOYER DU ROMARIN"</f>
        <v>EHPAD LE FOYER DU ROMARIN</v>
      </c>
      <c r="C2411" t="s">
        <v>77</v>
      </c>
    </row>
    <row r="2412" spans="1:3" x14ac:dyDescent="0.25">
      <c r="A2412" t="str">
        <f>"340782689"</f>
        <v>340782689</v>
      </c>
      <c r="B2412" t="str">
        <f>"EHPAD LES PERGOLINES HBT"</f>
        <v>EHPAD LES PERGOLINES HBT</v>
      </c>
      <c r="C2412" t="s">
        <v>77</v>
      </c>
    </row>
    <row r="2413" spans="1:3" x14ac:dyDescent="0.25">
      <c r="A2413" t="str">
        <f>"340783760"</f>
        <v>340783760</v>
      </c>
      <c r="B2413" t="str">
        <f>"EHPAD LES MURIERS"</f>
        <v>EHPAD LES MURIERS</v>
      </c>
      <c r="C2413" t="s">
        <v>77</v>
      </c>
    </row>
    <row r="2414" spans="1:3" x14ac:dyDescent="0.25">
      <c r="A2414" t="str">
        <f>"340783778"</f>
        <v>340783778</v>
      </c>
      <c r="B2414" t="str">
        <f>"EHPAD L'ECUREUIL"</f>
        <v>EHPAD L'ECUREUIL</v>
      </c>
      <c r="C2414" t="s">
        <v>77</v>
      </c>
    </row>
    <row r="2415" spans="1:3" x14ac:dyDescent="0.25">
      <c r="A2415" t="str">
        <f>"340783802"</f>
        <v>340783802</v>
      </c>
      <c r="B2415" t="str">
        <f>"EHPAD JEAN PERIDIER CROIX D'ARGENT"</f>
        <v>EHPAD JEAN PERIDIER CROIX D'ARGENT</v>
      </c>
      <c r="C2415" t="s">
        <v>77</v>
      </c>
    </row>
    <row r="2416" spans="1:3" x14ac:dyDescent="0.25">
      <c r="A2416" t="str">
        <f>"340783810"</f>
        <v>340783810</v>
      </c>
      <c r="B2416" t="str">
        <f>"EHPAD LEON RONZIER JOLY"</f>
        <v>EHPAD LEON RONZIER JOLY</v>
      </c>
      <c r="C2416" t="s">
        <v>77</v>
      </c>
    </row>
    <row r="2417" spans="1:3" x14ac:dyDescent="0.25">
      <c r="A2417" t="str">
        <f>"340783828"</f>
        <v>340783828</v>
      </c>
      <c r="B2417" t="str">
        <f>"EHPAD LES TREILLES"</f>
        <v>EHPAD LES TREILLES</v>
      </c>
      <c r="C2417" t="s">
        <v>77</v>
      </c>
    </row>
    <row r="2418" spans="1:3" x14ac:dyDescent="0.25">
      <c r="A2418" t="str">
        <f>"340783844"</f>
        <v>340783844</v>
      </c>
      <c r="B2418" t="str">
        <f>"EHPAD LES FRERES"</f>
        <v>EHPAD LES FRERES</v>
      </c>
      <c r="C2418" t="s">
        <v>77</v>
      </c>
    </row>
    <row r="2419" spans="1:3" x14ac:dyDescent="0.25">
      <c r="A2419" t="str">
        <f>"340783851"</f>
        <v>340783851</v>
      </c>
      <c r="B2419" t="str">
        <f>"EHPAD LA RENAISSANCE"</f>
        <v>EHPAD LA RENAISSANCE</v>
      </c>
      <c r="C2419" t="s">
        <v>77</v>
      </c>
    </row>
    <row r="2420" spans="1:3" x14ac:dyDescent="0.25">
      <c r="A2420" t="str">
        <f>"340783877"</f>
        <v>340783877</v>
      </c>
      <c r="B2420" t="str">
        <f>"EHPAD FOYER SAINTE AMELIE"</f>
        <v>EHPAD FOYER SAINTE AMELIE</v>
      </c>
      <c r="C2420" t="s">
        <v>77</v>
      </c>
    </row>
    <row r="2421" spans="1:3" x14ac:dyDescent="0.25">
      <c r="A2421" t="str">
        <f>"340783885"</f>
        <v>340783885</v>
      </c>
      <c r="B2421" t="str">
        <f>"EHPAD LES DOMINICAINES"</f>
        <v>EHPAD LES DOMINICAINES</v>
      </c>
      <c r="C2421" t="s">
        <v>77</v>
      </c>
    </row>
    <row r="2422" spans="1:3" x14ac:dyDescent="0.25">
      <c r="A2422" t="str">
        <f>"340783893"</f>
        <v>340783893</v>
      </c>
      <c r="B2422" t="str">
        <f>"EHPAD LA PROVIDENCE"</f>
        <v>EHPAD LA PROVIDENCE</v>
      </c>
      <c r="C2422" t="s">
        <v>77</v>
      </c>
    </row>
    <row r="2423" spans="1:3" x14ac:dyDescent="0.25">
      <c r="A2423" t="str">
        <f>"340783901"</f>
        <v>340783901</v>
      </c>
      <c r="B2423" t="str">
        <f>"EHPAD LES ACACIAS"</f>
        <v>EHPAD LES ACACIAS</v>
      </c>
      <c r="C2423" t="s">
        <v>77</v>
      </c>
    </row>
    <row r="2424" spans="1:3" x14ac:dyDescent="0.25">
      <c r="A2424" t="str">
        <f>"340783927"</f>
        <v>340783927</v>
      </c>
      <c r="B2424" t="str">
        <f>"EHPAD LES MISSIONS AFRICAINES"</f>
        <v>EHPAD LES MISSIONS AFRICAINES</v>
      </c>
      <c r="C2424" t="s">
        <v>77</v>
      </c>
    </row>
    <row r="2425" spans="1:3" x14ac:dyDescent="0.25">
      <c r="A2425" t="str">
        <f>"340783935"</f>
        <v>340783935</v>
      </c>
      <c r="B2425" t="str">
        <f>"MAISON RETRAITE PROTESTANTE"</f>
        <v>MAISON RETRAITE PROTESTANTE</v>
      </c>
      <c r="C2425" t="s">
        <v>77</v>
      </c>
    </row>
    <row r="2426" spans="1:3" x14ac:dyDescent="0.25">
      <c r="A2426" t="str">
        <f>"340783943"</f>
        <v>340783943</v>
      </c>
      <c r="B2426" t="str">
        <f>"EHPAD LES COULEURS DU TEMPS"</f>
        <v>EHPAD LES COULEURS DU TEMPS</v>
      </c>
      <c r="C2426" t="s">
        <v>77</v>
      </c>
    </row>
    <row r="2427" spans="1:3" x14ac:dyDescent="0.25">
      <c r="A2427" t="str">
        <f>"340783968"</f>
        <v>340783968</v>
      </c>
      <c r="B2427" t="str">
        <f>"EHPAD LA CITE DES AINES"</f>
        <v>EHPAD LA CITE DES AINES</v>
      </c>
      <c r="C2427" t="s">
        <v>77</v>
      </c>
    </row>
    <row r="2428" spans="1:3" x14ac:dyDescent="0.25">
      <c r="A2428" t="str">
        <f>"340783976"</f>
        <v>340783976</v>
      </c>
      <c r="B2428" t="str">
        <f>"EHPAD LE MANOIR"</f>
        <v>EHPAD LE MANOIR</v>
      </c>
      <c r="C2428" t="s">
        <v>77</v>
      </c>
    </row>
    <row r="2429" spans="1:3" x14ac:dyDescent="0.25">
      <c r="A2429" t="str">
        <f>"340784032"</f>
        <v>340784032</v>
      </c>
      <c r="B2429" t="str">
        <f>"EHPAD VILLA MARIE"</f>
        <v>EHPAD VILLA MARIE</v>
      </c>
      <c r="C2429" t="s">
        <v>77</v>
      </c>
    </row>
    <row r="2430" spans="1:3" x14ac:dyDescent="0.25">
      <c r="A2430" t="str">
        <f>"340784040"</f>
        <v>340784040</v>
      </c>
      <c r="B2430" t="str">
        <f>"EHPAD JEANNE DELANOUE"</f>
        <v>EHPAD JEANNE DELANOUE</v>
      </c>
      <c r="C2430" t="s">
        <v>77</v>
      </c>
    </row>
    <row r="2431" spans="1:3" x14ac:dyDescent="0.25">
      <c r="A2431" t="str">
        <f>"340784057"</f>
        <v>340784057</v>
      </c>
      <c r="B2431" t="str">
        <f>"EHPAD LA ROSERAIE STE ODILE"</f>
        <v>EHPAD LA ROSERAIE STE ODILE</v>
      </c>
      <c r="C2431" t="s">
        <v>77</v>
      </c>
    </row>
    <row r="2432" spans="1:3" x14ac:dyDescent="0.25">
      <c r="A2432" t="str">
        <f>"340784099"</f>
        <v>340784099</v>
      </c>
      <c r="B2432" t="str">
        <f>"EHPAD MONTPELLIERET"</f>
        <v>EHPAD MONTPELLIERET</v>
      </c>
      <c r="C2432" t="s">
        <v>77</v>
      </c>
    </row>
    <row r="2433" spans="1:3" x14ac:dyDescent="0.25">
      <c r="A2433" t="str">
        <f>"340784107"</f>
        <v>340784107</v>
      </c>
      <c r="B2433" t="str">
        <f>"EHPAD MA MAISON"</f>
        <v>EHPAD MA MAISON</v>
      </c>
      <c r="C2433" t="s">
        <v>77</v>
      </c>
    </row>
    <row r="2434" spans="1:3" x14ac:dyDescent="0.25">
      <c r="A2434" t="str">
        <f>"340784115"</f>
        <v>340784115</v>
      </c>
      <c r="B2434" t="str">
        <f>"EHPAD NOTRE DAME DES CHAMPS"</f>
        <v>EHPAD NOTRE DAME DES CHAMPS</v>
      </c>
      <c r="C2434" t="s">
        <v>77</v>
      </c>
    </row>
    <row r="2435" spans="1:3" x14ac:dyDescent="0.25">
      <c r="A2435" t="str">
        <f>"340784198"</f>
        <v>340784198</v>
      </c>
      <c r="B2435" t="str">
        <f>"EHPAD NOTRE DAME DU DIMANCHE"</f>
        <v>EHPAD NOTRE DAME DU DIMANCHE</v>
      </c>
      <c r="C2435" t="s">
        <v>77</v>
      </c>
    </row>
    <row r="2436" spans="1:3" x14ac:dyDescent="0.25">
      <c r="A2436" t="str">
        <f>"340784222"</f>
        <v>340784222</v>
      </c>
      <c r="B2436" t="str">
        <f>"EHPAD LES AUBES"</f>
        <v>EHPAD LES AUBES</v>
      </c>
      <c r="C2436" t="s">
        <v>77</v>
      </c>
    </row>
    <row r="2437" spans="1:3" x14ac:dyDescent="0.25">
      <c r="A2437" t="str">
        <f>"340784248"</f>
        <v>340784248</v>
      </c>
      <c r="B2437" t="str">
        <f>"EHPAD SIMONE GILLET DEMANGEL"</f>
        <v>EHPAD SIMONE GILLET DEMANGEL</v>
      </c>
      <c r="C2437" t="s">
        <v>77</v>
      </c>
    </row>
    <row r="2438" spans="1:3" x14ac:dyDescent="0.25">
      <c r="A2438" t="str">
        <f>"340784297"</f>
        <v>340784297</v>
      </c>
      <c r="B2438" t="str">
        <f>"EHPAD MICHEL BELORGEOT"</f>
        <v>EHPAD MICHEL BELORGEOT</v>
      </c>
      <c r="C2438" t="s">
        <v>77</v>
      </c>
    </row>
    <row r="2439" spans="1:3" x14ac:dyDescent="0.25">
      <c r="A2439" t="str">
        <f>"340784438"</f>
        <v>340784438</v>
      </c>
      <c r="B2439" t="str">
        <f>"EHPAD L'ENSOLEILLADE"</f>
        <v>EHPAD L'ENSOLEILLADE</v>
      </c>
      <c r="C2439" t="s">
        <v>77</v>
      </c>
    </row>
    <row r="2440" spans="1:3" x14ac:dyDescent="0.25">
      <c r="A2440" t="str">
        <f>"340784453"</f>
        <v>340784453</v>
      </c>
      <c r="B2440" t="str">
        <f>"EHPAD LE VAL FLEURI"</f>
        <v>EHPAD LE VAL FLEURI</v>
      </c>
      <c r="C2440" t="s">
        <v>77</v>
      </c>
    </row>
    <row r="2441" spans="1:3" x14ac:dyDescent="0.25">
      <c r="A2441" t="str">
        <f>"340784487"</f>
        <v>340784487</v>
      </c>
      <c r="B2441" t="str">
        <f>"EHPAD NOTRE DAME BON ACCUEIL"</f>
        <v>EHPAD NOTRE DAME BON ACCUEIL</v>
      </c>
      <c r="C2441" t="s">
        <v>77</v>
      </c>
    </row>
    <row r="2442" spans="1:3" x14ac:dyDescent="0.25">
      <c r="A2442" t="str">
        <f>"340784503"</f>
        <v>340784503</v>
      </c>
      <c r="B2442" t="str">
        <f>"EHPAD L'OUSTAL"</f>
        <v>EHPAD L'OUSTAL</v>
      </c>
      <c r="C2442" t="s">
        <v>77</v>
      </c>
    </row>
    <row r="2443" spans="1:3" x14ac:dyDescent="0.25">
      <c r="A2443" t="str">
        <f>"340784628"</f>
        <v>340784628</v>
      </c>
      <c r="B2443" t="str">
        <f>"EHPAD LES GARRIGUES"</f>
        <v>EHPAD LES GARRIGUES</v>
      </c>
      <c r="C2443" t="s">
        <v>77</v>
      </c>
    </row>
    <row r="2444" spans="1:3" x14ac:dyDescent="0.25">
      <c r="A2444" t="str">
        <f>"340784636"</f>
        <v>340784636</v>
      </c>
      <c r="B2444" t="str">
        <f>"EHPAD LA FARIGOULE"</f>
        <v>EHPAD LA FARIGOULE</v>
      </c>
      <c r="C2444" t="s">
        <v>77</v>
      </c>
    </row>
    <row r="2445" spans="1:3" x14ac:dyDescent="0.25">
      <c r="A2445" t="str">
        <f>"340784727"</f>
        <v>340784727</v>
      </c>
      <c r="B2445" t="str">
        <f>"EHPAD MONTPLAISIR"</f>
        <v>EHPAD MONTPLAISIR</v>
      </c>
      <c r="C2445" t="s">
        <v>77</v>
      </c>
    </row>
    <row r="2446" spans="1:3" x14ac:dyDescent="0.25">
      <c r="A2446" t="str">
        <f>"340784743"</f>
        <v>340784743</v>
      </c>
      <c r="B2446" t="str">
        <f>"EHPAD L'ACCUEIL"</f>
        <v>EHPAD L'ACCUEIL</v>
      </c>
      <c r="C2446" t="s">
        <v>77</v>
      </c>
    </row>
    <row r="2447" spans="1:3" x14ac:dyDescent="0.25">
      <c r="A2447" t="str">
        <f>"340784768"</f>
        <v>340784768</v>
      </c>
      <c r="B2447" t="str">
        <f>"EHPAD LES AIGUERELLES"</f>
        <v>EHPAD LES AIGUERELLES</v>
      </c>
      <c r="C2447" t="s">
        <v>77</v>
      </c>
    </row>
    <row r="2448" spans="1:3" x14ac:dyDescent="0.25">
      <c r="A2448" t="str">
        <f>"340785120"</f>
        <v>340785120</v>
      </c>
      <c r="B2448" t="str">
        <f>"EHPAD CHATEAU DE LA ROCHE"</f>
        <v>EHPAD CHATEAU DE LA ROCHE</v>
      </c>
      <c r="C2448" t="s">
        <v>77</v>
      </c>
    </row>
    <row r="2449" spans="1:3" x14ac:dyDescent="0.25">
      <c r="A2449" t="str">
        <f>"340785195"</f>
        <v>340785195</v>
      </c>
      <c r="B2449" t="str">
        <f>"EHPAD LES JARDINS DU RIVERAL"</f>
        <v>EHPAD LES JARDINS DU RIVERAL</v>
      </c>
      <c r="C2449" t="s">
        <v>77</v>
      </c>
    </row>
    <row r="2450" spans="1:3" x14ac:dyDescent="0.25">
      <c r="A2450" t="str">
        <f>"340786292"</f>
        <v>340786292</v>
      </c>
      <c r="B2450" t="str">
        <f>"EHPAD L'OUSTALET"</f>
        <v>EHPAD L'OUSTALET</v>
      </c>
      <c r="C2450" t="s">
        <v>77</v>
      </c>
    </row>
    <row r="2451" spans="1:3" x14ac:dyDescent="0.25">
      <c r="A2451" t="str">
        <f>"340786300"</f>
        <v>340786300</v>
      </c>
      <c r="B2451" t="str">
        <f>"EHPAD STE CLOTILDE"</f>
        <v>EHPAD STE CLOTILDE</v>
      </c>
      <c r="C2451" t="s">
        <v>77</v>
      </c>
    </row>
    <row r="2452" spans="1:3" x14ac:dyDescent="0.25">
      <c r="A2452" t="str">
        <f>"340786524"</f>
        <v>340786524</v>
      </c>
      <c r="B2452" t="str">
        <f>"EHPAD KORIAN LA POMPIGNANE"</f>
        <v>EHPAD KORIAN LA POMPIGNANE</v>
      </c>
      <c r="C2452" t="s">
        <v>77</v>
      </c>
    </row>
    <row r="2453" spans="1:3" x14ac:dyDescent="0.25">
      <c r="A2453" t="str">
        <f>"340786581"</f>
        <v>340786581</v>
      </c>
      <c r="B2453" t="str">
        <f>"EHPAD L'ENSOLEILHADA"</f>
        <v>EHPAD L'ENSOLEILHADA</v>
      </c>
      <c r="C2453" t="s">
        <v>77</v>
      </c>
    </row>
    <row r="2454" spans="1:3" x14ac:dyDescent="0.25">
      <c r="A2454" t="str">
        <f>"340786615"</f>
        <v>340786615</v>
      </c>
      <c r="B2454" t="str">
        <f>"EHPAD VINCENT BADIE"</f>
        <v>EHPAD VINCENT BADIE</v>
      </c>
      <c r="C2454" t="s">
        <v>77</v>
      </c>
    </row>
    <row r="2455" spans="1:3" x14ac:dyDescent="0.25">
      <c r="A2455" t="str">
        <f>"340786623"</f>
        <v>340786623</v>
      </c>
      <c r="B2455" t="str">
        <f>"EHPAD LA ROUVIERE"</f>
        <v>EHPAD LA ROUVIERE</v>
      </c>
      <c r="C2455" t="s">
        <v>77</v>
      </c>
    </row>
    <row r="2456" spans="1:3" x14ac:dyDescent="0.25">
      <c r="A2456" t="str">
        <f>"340786656"</f>
        <v>340786656</v>
      </c>
      <c r="B2456" t="str">
        <f>"EHPAD CHATEAU DE LA VERRERIE"</f>
        <v>EHPAD CHATEAU DE LA VERRERIE</v>
      </c>
      <c r="C2456" t="s">
        <v>77</v>
      </c>
    </row>
    <row r="2457" spans="1:3" x14ac:dyDescent="0.25">
      <c r="A2457" t="str">
        <f>"340786680"</f>
        <v>340786680</v>
      </c>
      <c r="B2457" t="str">
        <f>"EHPAD LA MESANGE"</f>
        <v>EHPAD LA MESANGE</v>
      </c>
      <c r="C2457" t="s">
        <v>77</v>
      </c>
    </row>
    <row r="2458" spans="1:3" x14ac:dyDescent="0.25">
      <c r="A2458" t="str">
        <f>"340786797"</f>
        <v>340786797</v>
      </c>
      <c r="B2458" t="str">
        <f>"EHPAD YVES COUZY"</f>
        <v>EHPAD YVES COUZY</v>
      </c>
      <c r="C2458" t="s">
        <v>77</v>
      </c>
    </row>
    <row r="2459" spans="1:3" x14ac:dyDescent="0.25">
      <c r="A2459" t="str">
        <f>"340787472"</f>
        <v>340787472</v>
      </c>
      <c r="B2459" t="str">
        <f>"EHPAD MIREILLE VIDAL"</f>
        <v>EHPAD MIREILLE VIDAL</v>
      </c>
      <c r="C2459" t="s">
        <v>77</v>
      </c>
    </row>
    <row r="2460" spans="1:3" x14ac:dyDescent="0.25">
      <c r="A2460" t="str">
        <f>"340787480"</f>
        <v>340787480</v>
      </c>
      <c r="B2460" t="str">
        <f>"EHPAD KORIAN LES GARDIOLES"</f>
        <v>EHPAD KORIAN LES GARDIOLES</v>
      </c>
      <c r="C2460" t="s">
        <v>77</v>
      </c>
    </row>
    <row r="2461" spans="1:3" x14ac:dyDescent="0.25">
      <c r="A2461" t="str">
        <f>"340787530"</f>
        <v>340787530</v>
      </c>
      <c r="B2461" t="str">
        <f>"EHPAD LES TILLEULS"</f>
        <v>EHPAD LES TILLEULS</v>
      </c>
      <c r="C2461" t="s">
        <v>77</v>
      </c>
    </row>
    <row r="2462" spans="1:3" x14ac:dyDescent="0.25">
      <c r="A2462" t="str">
        <f>"340787571"</f>
        <v>340787571</v>
      </c>
      <c r="B2462" t="str">
        <f>"EHPAD KORIAN LES MEUNIERES"</f>
        <v>EHPAD KORIAN LES MEUNIERES</v>
      </c>
      <c r="C2462" t="s">
        <v>77</v>
      </c>
    </row>
    <row r="2463" spans="1:3" x14ac:dyDescent="0.25">
      <c r="A2463" t="str">
        <f>"340787597"</f>
        <v>340787597</v>
      </c>
      <c r="B2463" t="str">
        <f>"EHPAD LOU CASTELLAS"</f>
        <v>EHPAD LOU CASTELLAS</v>
      </c>
      <c r="C2463" t="s">
        <v>77</v>
      </c>
    </row>
    <row r="2464" spans="1:3" x14ac:dyDescent="0.25">
      <c r="A2464" t="str">
        <f>"340787688"</f>
        <v>340787688</v>
      </c>
      <c r="B2464" t="str">
        <f>"EHPAD ANATOLE FRANCE"</f>
        <v>EHPAD ANATOLE FRANCE</v>
      </c>
      <c r="C2464" t="s">
        <v>77</v>
      </c>
    </row>
    <row r="2465" spans="1:3" x14ac:dyDescent="0.25">
      <c r="A2465" t="str">
        <f>"340787712"</f>
        <v>340787712</v>
      </c>
      <c r="B2465" t="str">
        <f>"EHPAD MATHILDE LARTIGUE"</f>
        <v>EHPAD MATHILDE LARTIGUE</v>
      </c>
      <c r="C2465" t="s">
        <v>77</v>
      </c>
    </row>
    <row r="2466" spans="1:3" x14ac:dyDescent="0.25">
      <c r="A2466" t="str">
        <f>"340787860"</f>
        <v>340787860</v>
      </c>
      <c r="B2466" t="str">
        <f>"EHPAD D'AUBETERRE"</f>
        <v>EHPAD D'AUBETERRE</v>
      </c>
      <c r="C2466" t="s">
        <v>77</v>
      </c>
    </row>
    <row r="2467" spans="1:3" x14ac:dyDescent="0.25">
      <c r="A2467" t="str">
        <f>"340787886"</f>
        <v>340787886</v>
      </c>
      <c r="B2467" t="str">
        <f>"EHPAD LES MONTS D'AURELLE"</f>
        <v>EHPAD LES MONTS D'AURELLE</v>
      </c>
      <c r="C2467" t="s">
        <v>77</v>
      </c>
    </row>
    <row r="2468" spans="1:3" x14ac:dyDescent="0.25">
      <c r="A2468" t="str">
        <f>"340787894"</f>
        <v>340787894</v>
      </c>
      <c r="B2468" t="str">
        <f>"EHPAD LES GLYCINES"</f>
        <v>EHPAD LES GLYCINES</v>
      </c>
      <c r="C2468" t="s">
        <v>77</v>
      </c>
    </row>
    <row r="2469" spans="1:3" x14ac:dyDescent="0.25">
      <c r="A2469" t="str">
        <f>"340787910"</f>
        <v>340787910</v>
      </c>
      <c r="B2469" t="str">
        <f>"EHPAD LES AMANDIERS"</f>
        <v>EHPAD LES AMANDIERS</v>
      </c>
      <c r="C2469" t="s">
        <v>77</v>
      </c>
    </row>
    <row r="2470" spans="1:3" x14ac:dyDescent="0.25">
      <c r="A2470" t="str">
        <f>"340788439"</f>
        <v>340788439</v>
      </c>
      <c r="B2470" t="str">
        <f>"EHPAD KORIAN LO SOLELH"</f>
        <v>EHPAD KORIAN LO SOLELH</v>
      </c>
      <c r="C2470" t="s">
        <v>77</v>
      </c>
    </row>
    <row r="2471" spans="1:3" x14ac:dyDescent="0.25">
      <c r="A2471" t="str">
        <f>"340788587"</f>
        <v>340788587</v>
      </c>
      <c r="B2471" t="str">
        <f>"EHPAD CH BEDARIEUX"</f>
        <v>EHPAD CH BEDARIEUX</v>
      </c>
      <c r="C2471" t="s">
        <v>77</v>
      </c>
    </row>
    <row r="2472" spans="1:3" x14ac:dyDescent="0.25">
      <c r="A2472" t="str">
        <f>"340788611"</f>
        <v>340788611</v>
      </c>
      <c r="B2472" t="str">
        <f>"EHPAD LAURENT ANTOINE HBT"</f>
        <v>EHPAD LAURENT ANTOINE HBT</v>
      </c>
      <c r="C2472" t="s">
        <v>77</v>
      </c>
    </row>
    <row r="2473" spans="1:3" x14ac:dyDescent="0.25">
      <c r="A2473" t="str">
        <f>"340788645"</f>
        <v>340788645</v>
      </c>
      <c r="B2473" t="str">
        <f>"EHPAD CH CLERMONT L'HERAULT"</f>
        <v>EHPAD CH CLERMONT L'HERAULT</v>
      </c>
      <c r="C2473" t="s">
        <v>77</v>
      </c>
    </row>
    <row r="2474" spans="1:3" x14ac:dyDescent="0.25">
      <c r="A2474" t="str">
        <f>"340788660"</f>
        <v>340788660</v>
      </c>
      <c r="B2474" t="str">
        <f>"EHPAD CH LODEVE"</f>
        <v>EHPAD CH LODEVE</v>
      </c>
      <c r="C2474" t="s">
        <v>77</v>
      </c>
    </row>
    <row r="2475" spans="1:3" x14ac:dyDescent="0.25">
      <c r="A2475" t="str">
        <f>"340788686"</f>
        <v>340788686</v>
      </c>
      <c r="B2475" t="str">
        <f>"EHPAD CH PEZENAS"</f>
        <v>EHPAD CH PEZENAS</v>
      </c>
      <c r="C2475" t="s">
        <v>77</v>
      </c>
    </row>
    <row r="2476" spans="1:3" x14ac:dyDescent="0.25">
      <c r="A2476" t="str">
        <f>"340788702"</f>
        <v>340788702</v>
      </c>
      <c r="B2476" t="str">
        <f>"EHPAD CH LUNEL - SITE DE REPUBLIQUE"</f>
        <v>EHPAD CH LUNEL - SITE DE REPUBLIQUE</v>
      </c>
      <c r="C2476" t="s">
        <v>77</v>
      </c>
    </row>
    <row r="2477" spans="1:3" x14ac:dyDescent="0.25">
      <c r="A2477" t="str">
        <f>"340788710"</f>
        <v>340788710</v>
      </c>
      <c r="B2477" t="str">
        <f>"EHPAD CENTRE HOSPITALIER SAINT PONS"</f>
        <v>EHPAD CENTRE HOSPITALIER SAINT PONS</v>
      </c>
      <c r="C2477" t="s">
        <v>77</v>
      </c>
    </row>
    <row r="2478" spans="1:3" x14ac:dyDescent="0.25">
      <c r="A2478" t="str">
        <f>"340789205"</f>
        <v>340789205</v>
      </c>
      <c r="B2478" t="str">
        <f>"EHPAD CAPESTANG"</f>
        <v>EHPAD CAPESTANG</v>
      </c>
      <c r="C2478" t="s">
        <v>77</v>
      </c>
    </row>
    <row r="2479" spans="1:3" x14ac:dyDescent="0.25">
      <c r="A2479" t="str">
        <f>"340789213"</f>
        <v>340789213</v>
      </c>
      <c r="B2479" t="str">
        <f>"EHPAD 'LES MELIAS'"</f>
        <v>EHPAD 'LES MELIAS'</v>
      </c>
      <c r="C2479" t="s">
        <v>77</v>
      </c>
    </row>
    <row r="2480" spans="1:3" x14ac:dyDescent="0.25">
      <c r="A2480" t="str">
        <f>"340789221"</f>
        <v>340789221</v>
      </c>
      <c r="B2480" t="str">
        <f>"EHPAD LE MINERVOIS"</f>
        <v>EHPAD LE MINERVOIS</v>
      </c>
      <c r="C2480" t="s">
        <v>77</v>
      </c>
    </row>
    <row r="2481" spans="1:3" x14ac:dyDescent="0.25">
      <c r="A2481" t="str">
        <f>"340789239"</f>
        <v>340789239</v>
      </c>
      <c r="B2481" t="str">
        <f>"EHPAD LES JARDINS DE FLORE"</f>
        <v>EHPAD LES JARDINS DE FLORE</v>
      </c>
      <c r="C2481" t="s">
        <v>77</v>
      </c>
    </row>
    <row r="2482" spans="1:3" x14ac:dyDescent="0.25">
      <c r="A2482" t="str">
        <f>"340789247"</f>
        <v>340789247</v>
      </c>
      <c r="B2482" t="str">
        <f>"EHPAD LA BELLE VISTE"</f>
        <v>EHPAD LA BELLE VISTE</v>
      </c>
      <c r="C2482" t="s">
        <v>77</v>
      </c>
    </row>
    <row r="2483" spans="1:3" x14ac:dyDescent="0.25">
      <c r="A2483" t="str">
        <f>"340789262"</f>
        <v>340789262</v>
      </c>
      <c r="B2483" t="str">
        <f>"EHPAD LES JARDINS DE MIREVAL"</f>
        <v>EHPAD LES JARDINS DE MIREVAL</v>
      </c>
      <c r="C2483" t="s">
        <v>77</v>
      </c>
    </row>
    <row r="2484" spans="1:3" x14ac:dyDescent="0.25">
      <c r="A2484" t="str">
        <f>"340789338"</f>
        <v>340789338</v>
      </c>
      <c r="B2484" t="str">
        <f>"EHPAD LE CLOS DU MOULIN"</f>
        <v>EHPAD LE CLOS DU MOULIN</v>
      </c>
      <c r="C2484" t="s">
        <v>77</v>
      </c>
    </row>
    <row r="2485" spans="1:3" x14ac:dyDescent="0.25">
      <c r="A2485" t="str">
        <f>"340789387"</f>
        <v>340789387</v>
      </c>
      <c r="B2485" t="str">
        <f>"EHPAD MAS DU MOULIN"</f>
        <v>EHPAD MAS DU MOULIN</v>
      </c>
      <c r="C2485" t="s">
        <v>77</v>
      </c>
    </row>
    <row r="2486" spans="1:3" x14ac:dyDescent="0.25">
      <c r="A2486" t="str">
        <f>"340789718"</f>
        <v>340789718</v>
      </c>
      <c r="B2486" t="str">
        <f>"EHPAD LES FEUILLANTINES"</f>
        <v>EHPAD LES FEUILLANTINES</v>
      </c>
      <c r="C2486" t="s">
        <v>77</v>
      </c>
    </row>
    <row r="2487" spans="1:3" x14ac:dyDescent="0.25">
      <c r="A2487" t="str">
        <f>"340789734"</f>
        <v>340789734</v>
      </c>
      <c r="B2487" t="str">
        <f>"EHPAD LOUIS LAGET"</f>
        <v>EHPAD LOUIS LAGET</v>
      </c>
      <c r="C2487" t="s">
        <v>77</v>
      </c>
    </row>
    <row r="2488" spans="1:3" x14ac:dyDescent="0.25">
      <c r="A2488" t="str">
        <f>"340789742"</f>
        <v>340789742</v>
      </c>
      <c r="B2488" t="str">
        <f>"EHPAD LA RESIDENTIELLE"</f>
        <v>EHPAD LA RESIDENTIELLE</v>
      </c>
      <c r="C2488" t="s">
        <v>77</v>
      </c>
    </row>
    <row r="2489" spans="1:3" x14ac:dyDescent="0.25">
      <c r="A2489" t="str">
        <f>"340790187"</f>
        <v>340790187</v>
      </c>
      <c r="B2489" t="str">
        <f>"EHPAD DR RAOUL BOUBAL"</f>
        <v>EHPAD DR RAOUL BOUBAL</v>
      </c>
      <c r="C2489" t="s">
        <v>77</v>
      </c>
    </row>
    <row r="2490" spans="1:3" x14ac:dyDescent="0.25">
      <c r="A2490" t="str">
        <f>"340790211"</f>
        <v>340790211</v>
      </c>
      <c r="B2490" t="str">
        <f>"EHPAD LES FLOREALES"</f>
        <v>EHPAD LES FLOREALES</v>
      </c>
      <c r="C2490" t="s">
        <v>77</v>
      </c>
    </row>
    <row r="2491" spans="1:3" x14ac:dyDescent="0.25">
      <c r="A2491" t="str">
        <f>"340791375"</f>
        <v>340791375</v>
      </c>
      <c r="B2491" t="str">
        <f>"EHPAD LES PINS"</f>
        <v>EHPAD LES PINS</v>
      </c>
      <c r="C2491" t="s">
        <v>77</v>
      </c>
    </row>
    <row r="2492" spans="1:3" x14ac:dyDescent="0.25">
      <c r="A2492" t="str">
        <f>"340791961"</f>
        <v>340791961</v>
      </c>
      <c r="B2492" t="str">
        <f>"EHPAD ATHENA"</f>
        <v>EHPAD ATHENA</v>
      </c>
      <c r="C2492" t="s">
        <v>77</v>
      </c>
    </row>
    <row r="2493" spans="1:3" x14ac:dyDescent="0.25">
      <c r="A2493" t="str">
        <f>"340796143"</f>
        <v>340796143</v>
      </c>
      <c r="B2493" t="str">
        <f>"EHPAD LA PINEDE CH BEZIERS"</f>
        <v>EHPAD LA PINEDE CH BEZIERS</v>
      </c>
      <c r="C2493" t="s">
        <v>77</v>
      </c>
    </row>
    <row r="2494" spans="1:3" x14ac:dyDescent="0.25">
      <c r="A2494" t="str">
        <f>"340796317"</f>
        <v>340796317</v>
      </c>
      <c r="B2494" t="str">
        <f>"EHPAD LES COURALIES"</f>
        <v>EHPAD LES COURALIES</v>
      </c>
      <c r="C2494" t="s">
        <v>77</v>
      </c>
    </row>
    <row r="2495" spans="1:3" x14ac:dyDescent="0.25">
      <c r="A2495" t="str">
        <f>"340796416"</f>
        <v>340796416</v>
      </c>
      <c r="B2495" t="str">
        <f>"EHPAD LA QUINTESSENCE"</f>
        <v>EHPAD LA QUINTESSENCE</v>
      </c>
      <c r="C2495" t="s">
        <v>77</v>
      </c>
    </row>
    <row r="2496" spans="1:3" x14ac:dyDescent="0.25">
      <c r="A2496" t="str">
        <f>"340797240"</f>
        <v>340797240</v>
      </c>
      <c r="B2496" t="str">
        <f>"EHPAD LA MERIDIENNE"</f>
        <v>EHPAD LA MERIDIENNE</v>
      </c>
      <c r="C2496" t="s">
        <v>77</v>
      </c>
    </row>
    <row r="2497" spans="1:3" x14ac:dyDescent="0.25">
      <c r="A2497" t="str">
        <f>"340797406"</f>
        <v>340797406</v>
      </c>
      <c r="B2497" t="str">
        <f>"EHPAD RESIDENCE LA CYPRIERE"</f>
        <v>EHPAD RESIDENCE LA CYPRIERE</v>
      </c>
      <c r="C2497" t="s">
        <v>77</v>
      </c>
    </row>
    <row r="2498" spans="1:3" x14ac:dyDescent="0.25">
      <c r="A2498" t="str">
        <f>"340797455"</f>
        <v>340797455</v>
      </c>
      <c r="B2498" t="str">
        <f>"EHPAD MAISON DE FAMILLE"</f>
        <v>EHPAD MAISON DE FAMILLE</v>
      </c>
      <c r="C2498" t="s">
        <v>77</v>
      </c>
    </row>
    <row r="2499" spans="1:3" x14ac:dyDescent="0.25">
      <c r="A2499" t="str">
        <f>"350000253"</f>
        <v>350000253</v>
      </c>
      <c r="B2499" t="str">
        <f>"EHPAD L'OREE DU BOIS"</f>
        <v>EHPAD L'OREE DU BOIS</v>
      </c>
      <c r="C2499" t="s">
        <v>65</v>
      </c>
    </row>
    <row r="2500" spans="1:3" x14ac:dyDescent="0.25">
      <c r="A2500" t="str">
        <f>"350000261"</f>
        <v>350000261</v>
      </c>
      <c r="B2500" t="str">
        <f>"EHPAD RESIDENCE LES GRANDS JARDINS"</f>
        <v>EHPAD RESIDENCE LES GRANDS JARDINS</v>
      </c>
      <c r="C2500" t="s">
        <v>65</v>
      </c>
    </row>
    <row r="2501" spans="1:3" x14ac:dyDescent="0.25">
      <c r="A2501" t="str">
        <f>"350000287"</f>
        <v>350000287</v>
      </c>
      <c r="B2501" t="str">
        <f>"MAISON DE RETRAITE CHAMPS MANCEAUX"</f>
        <v>MAISON DE RETRAITE CHAMPS MANCEAUX</v>
      </c>
      <c r="C2501" t="s">
        <v>65</v>
      </c>
    </row>
    <row r="2502" spans="1:3" x14ac:dyDescent="0.25">
      <c r="A2502" t="str">
        <f>"350002341"</f>
        <v>350002341</v>
      </c>
      <c r="B2502" t="str">
        <f>"EHPAD AVAILLES SUR SEICHE"</f>
        <v>EHPAD AVAILLES SUR SEICHE</v>
      </c>
      <c r="C2502" t="s">
        <v>65</v>
      </c>
    </row>
    <row r="2503" spans="1:3" x14ac:dyDescent="0.25">
      <c r="A2503" t="str">
        <f>"350002358"</f>
        <v>350002358</v>
      </c>
      <c r="B2503" t="str">
        <f>"EHPAD VILLECARTIER"</f>
        <v>EHPAD VILLECARTIER</v>
      </c>
      <c r="C2503" t="s">
        <v>65</v>
      </c>
    </row>
    <row r="2504" spans="1:3" x14ac:dyDescent="0.25">
      <c r="A2504" t="str">
        <f>"350002366"</f>
        <v>350002366</v>
      </c>
      <c r="B2504" t="str">
        <f>"RESIDENCE VAL DE CHEVRE"</f>
        <v>RESIDENCE VAL DE CHEVRE</v>
      </c>
      <c r="C2504" t="s">
        <v>65</v>
      </c>
    </row>
    <row r="2505" spans="1:3" x14ac:dyDescent="0.25">
      <c r="A2505" t="str">
        <f>"350002374"</f>
        <v>350002374</v>
      </c>
      <c r="B2505" t="str">
        <f>"EHPAD LES JARDINS DU CASTEL"</f>
        <v>EHPAD LES JARDINS DU CASTEL</v>
      </c>
      <c r="C2505" t="s">
        <v>65</v>
      </c>
    </row>
    <row r="2506" spans="1:3" x14ac:dyDescent="0.25">
      <c r="A2506" t="str">
        <f>"350002382"</f>
        <v>350002382</v>
      </c>
      <c r="B2506" t="str">
        <f>"RESIDENCE DE L'YZE  CORPS NUDS"</f>
        <v>RESIDENCE DE L'YZE  CORPS NUDS</v>
      </c>
      <c r="C2506" t="s">
        <v>65</v>
      </c>
    </row>
    <row r="2507" spans="1:3" x14ac:dyDescent="0.25">
      <c r="A2507" t="str">
        <f>"350002390"</f>
        <v>350002390</v>
      </c>
      <c r="B2507" t="str">
        <f>"EHPAD DE L'ABBAYE"</f>
        <v>EHPAD DE L'ABBAYE</v>
      </c>
      <c r="C2507" t="s">
        <v>65</v>
      </c>
    </row>
    <row r="2508" spans="1:3" x14ac:dyDescent="0.25">
      <c r="A2508" t="str">
        <f>"350002408"</f>
        <v>350002408</v>
      </c>
      <c r="B2508" t="str">
        <f>"RESIDENCE DE L'ETANG"</f>
        <v>RESIDENCE DE L'ETANG</v>
      </c>
      <c r="C2508" t="s">
        <v>65</v>
      </c>
    </row>
    <row r="2509" spans="1:3" x14ac:dyDescent="0.25">
      <c r="A2509" t="str">
        <f>"350002424"</f>
        <v>350002424</v>
      </c>
      <c r="B2509" t="str">
        <f>"EHPAD THOMAS BOURSIN"</f>
        <v>EHPAD THOMAS BOURSIN</v>
      </c>
      <c r="C2509" t="s">
        <v>65</v>
      </c>
    </row>
    <row r="2510" spans="1:3" x14ac:dyDescent="0.25">
      <c r="A2510" t="str">
        <f>"350002432"</f>
        <v>350002432</v>
      </c>
      <c r="B2510" t="str">
        <f>"MAISON DE RETRAITE ST JOSEPH"</f>
        <v>MAISON DE RETRAITE ST JOSEPH</v>
      </c>
      <c r="C2510" t="s">
        <v>65</v>
      </c>
    </row>
    <row r="2511" spans="1:3" x14ac:dyDescent="0.25">
      <c r="A2511" t="str">
        <f>"350002440"</f>
        <v>350002440</v>
      </c>
      <c r="B2511" t="str">
        <f>"RESIDENCE LES ACACIAS"</f>
        <v>RESIDENCE LES ACACIAS</v>
      </c>
      <c r="C2511" t="s">
        <v>65</v>
      </c>
    </row>
    <row r="2512" spans="1:3" x14ac:dyDescent="0.25">
      <c r="A2512" t="str">
        <f>"350002457"</f>
        <v>350002457</v>
      </c>
      <c r="B2512" t="str">
        <f>"EHPAD LES LANDES"</f>
        <v>EHPAD LES LANDES</v>
      </c>
      <c r="C2512" t="s">
        <v>65</v>
      </c>
    </row>
    <row r="2513" spans="1:3" x14ac:dyDescent="0.25">
      <c r="A2513" t="str">
        <f>"350002473"</f>
        <v>350002473</v>
      </c>
      <c r="B2513" t="str">
        <f>"RESIDENCE KER JOSEPH"</f>
        <v>RESIDENCE KER JOSEPH</v>
      </c>
      <c r="C2513" t="s">
        <v>65</v>
      </c>
    </row>
    <row r="2514" spans="1:3" x14ac:dyDescent="0.25">
      <c r="A2514" t="str">
        <f>"350002481"</f>
        <v>350002481</v>
      </c>
      <c r="B2514" t="str">
        <f>"MAISON DE RETRAITE PIERRE MARIE CURIE"</f>
        <v>MAISON DE RETRAITE PIERRE MARIE CURIE</v>
      </c>
      <c r="C2514" t="s">
        <v>65</v>
      </c>
    </row>
    <row r="2515" spans="1:3" x14ac:dyDescent="0.25">
      <c r="A2515" t="str">
        <f>"350002499"</f>
        <v>350002499</v>
      </c>
      <c r="B2515" t="str">
        <f>"RESIDENCE LA VALLEE"</f>
        <v>RESIDENCE LA VALLEE</v>
      </c>
      <c r="C2515" t="s">
        <v>65</v>
      </c>
    </row>
    <row r="2516" spans="1:3" x14ac:dyDescent="0.25">
      <c r="A2516" t="str">
        <f>"350002507"</f>
        <v>350002507</v>
      </c>
      <c r="B2516" t="str">
        <f>"RESIDENCE LES VERGERS"</f>
        <v>RESIDENCE LES VERGERS</v>
      </c>
      <c r="C2516" t="s">
        <v>65</v>
      </c>
    </row>
    <row r="2517" spans="1:3" x14ac:dyDescent="0.25">
      <c r="A2517" t="str">
        <f>"350002515"</f>
        <v>350002515</v>
      </c>
      <c r="B2517" t="str">
        <f>"EHPAD LA SAGESSE PLEURTUIT"</f>
        <v>EHPAD LA SAGESSE PLEURTUIT</v>
      </c>
      <c r="C2517" t="s">
        <v>65</v>
      </c>
    </row>
    <row r="2518" spans="1:3" x14ac:dyDescent="0.25">
      <c r="A2518" t="str">
        <f>"350002937"</f>
        <v>350002937</v>
      </c>
      <c r="B2518" t="str">
        <f>"EHPAD RESIDENCE SAINT JOSEPH"</f>
        <v>EHPAD RESIDENCE SAINT JOSEPH</v>
      </c>
      <c r="C2518" t="s">
        <v>65</v>
      </c>
    </row>
    <row r="2519" spans="1:3" x14ac:dyDescent="0.25">
      <c r="A2519" t="str">
        <f>"350005054"</f>
        <v>350005054</v>
      </c>
      <c r="B2519" t="str">
        <f>"RESIDENCE DU CHANGEON"</f>
        <v>RESIDENCE DU CHANGEON</v>
      </c>
      <c r="C2519" t="s">
        <v>65</v>
      </c>
    </row>
    <row r="2520" spans="1:3" x14ac:dyDescent="0.25">
      <c r="A2520" t="str">
        <f>"350005195"</f>
        <v>350005195</v>
      </c>
      <c r="B2520" t="str">
        <f>"EHPAD LES ALLEUX"</f>
        <v>EHPAD LES ALLEUX</v>
      </c>
      <c r="C2520" t="s">
        <v>65</v>
      </c>
    </row>
    <row r="2521" spans="1:3" x14ac:dyDescent="0.25">
      <c r="A2521" t="str">
        <f>"350005203"</f>
        <v>350005203</v>
      </c>
      <c r="B2521" t="str">
        <f>"EHPAD SAINT JOSEPH"</f>
        <v>EHPAD SAINT JOSEPH</v>
      </c>
      <c r="C2521" t="s">
        <v>65</v>
      </c>
    </row>
    <row r="2522" spans="1:3" x14ac:dyDescent="0.25">
      <c r="A2522" t="str">
        <f>"350005211"</f>
        <v>350005211</v>
      </c>
      <c r="B2522" t="str">
        <f>"MAISON SAINT FRANCOIS"</f>
        <v>MAISON SAINT FRANCOIS</v>
      </c>
      <c r="C2522" t="s">
        <v>65</v>
      </c>
    </row>
    <row r="2523" spans="1:3" x14ac:dyDescent="0.25">
      <c r="A2523" t="str">
        <f>"350005252"</f>
        <v>350005252</v>
      </c>
      <c r="B2523" t="str">
        <f>"RESIDENCE SAINT CYR"</f>
        <v>RESIDENCE SAINT CYR</v>
      </c>
      <c r="C2523" t="s">
        <v>65</v>
      </c>
    </row>
    <row r="2524" spans="1:3" x14ac:dyDescent="0.25">
      <c r="A2524" t="str">
        <f>"350005286"</f>
        <v>350005286</v>
      </c>
      <c r="B2524" t="str">
        <f>"EHPAD RESIDENCE DES LORIETTES"</f>
        <v>EHPAD RESIDENCE DES LORIETTES</v>
      </c>
      <c r="C2524" t="s">
        <v>65</v>
      </c>
    </row>
    <row r="2525" spans="1:3" x14ac:dyDescent="0.25">
      <c r="A2525" t="str">
        <f>"350005294"</f>
        <v>350005294</v>
      </c>
      <c r="B2525" t="str">
        <f>"RESIDENCE LE CLOS D'ORRIERE"</f>
        <v>RESIDENCE LE CLOS D'ORRIERE</v>
      </c>
      <c r="C2525" t="s">
        <v>65</v>
      </c>
    </row>
    <row r="2526" spans="1:3" x14ac:dyDescent="0.25">
      <c r="A2526" t="str">
        <f>"350005344"</f>
        <v>350005344</v>
      </c>
      <c r="B2526" t="str">
        <f>"MAISON DE RETRAITE ST MICHEL"</f>
        <v>MAISON DE RETRAITE ST MICHEL</v>
      </c>
      <c r="C2526" t="s">
        <v>65</v>
      </c>
    </row>
    <row r="2527" spans="1:3" x14ac:dyDescent="0.25">
      <c r="A2527" t="str">
        <f>"350005369"</f>
        <v>350005369</v>
      </c>
      <c r="B2527" t="str">
        <f>"MAISON DE RETRAITE LA PROVIDENCE"</f>
        <v>MAISON DE RETRAITE LA PROVIDENCE</v>
      </c>
      <c r="C2527" t="s">
        <v>65</v>
      </c>
    </row>
    <row r="2528" spans="1:3" x14ac:dyDescent="0.25">
      <c r="A2528" t="str">
        <f>"350005377"</f>
        <v>350005377</v>
      </c>
      <c r="B2528" t="str">
        <f>"MAISON DE RETRAITE STE ANNE"</f>
        <v>MAISON DE RETRAITE STE ANNE</v>
      </c>
      <c r="C2528" t="s">
        <v>65</v>
      </c>
    </row>
    <row r="2529" spans="1:3" x14ac:dyDescent="0.25">
      <c r="A2529" t="str">
        <f>"350005385"</f>
        <v>350005385</v>
      </c>
      <c r="B2529" t="str">
        <f>"RESIDENCE LA SAINTE FAMILLE"</f>
        <v>RESIDENCE LA SAINTE FAMILLE</v>
      </c>
      <c r="C2529" t="s">
        <v>65</v>
      </c>
    </row>
    <row r="2530" spans="1:3" x14ac:dyDescent="0.25">
      <c r="A2530" t="str">
        <f>"350005393"</f>
        <v>350005393</v>
      </c>
      <c r="B2530" t="str">
        <f>"MAISON DE RETRAITE  - BAIS"</f>
        <v>MAISON DE RETRAITE  - BAIS</v>
      </c>
      <c r="C2530" t="s">
        <v>65</v>
      </c>
    </row>
    <row r="2531" spans="1:3" x14ac:dyDescent="0.25">
      <c r="A2531" t="str">
        <f>"350005419"</f>
        <v>350005419</v>
      </c>
      <c r="B2531" t="str">
        <f>"RESIDENCE SAINTE MARIE"</f>
        <v>RESIDENCE SAINTE MARIE</v>
      </c>
      <c r="C2531" t="s">
        <v>65</v>
      </c>
    </row>
    <row r="2532" spans="1:3" x14ac:dyDescent="0.25">
      <c r="A2532" t="str">
        <f>"350005427"</f>
        <v>350005427</v>
      </c>
      <c r="B2532" t="str">
        <f>"MAISON DE RETRAITE DE DOMALAIN"</f>
        <v>MAISON DE RETRAITE DE DOMALAIN</v>
      </c>
      <c r="C2532" t="s">
        <v>65</v>
      </c>
    </row>
    <row r="2533" spans="1:3" x14ac:dyDescent="0.25">
      <c r="A2533" t="str">
        <f>"350005435"</f>
        <v>350005435</v>
      </c>
      <c r="B2533" t="str">
        <f>"MAISON DE RETRAITE HYACINTHE HEVIN"</f>
        <v>MAISON DE RETRAITE HYACINTHE HEVIN</v>
      </c>
      <c r="C2533" t="s">
        <v>65</v>
      </c>
    </row>
    <row r="2534" spans="1:3" x14ac:dyDescent="0.25">
      <c r="A2534" t="str">
        <f>"350005450"</f>
        <v>350005450</v>
      </c>
      <c r="B2534" t="str">
        <f>"MAISON DE RETRAITE ST ALEXIS"</f>
        <v>MAISON DE RETRAITE ST ALEXIS</v>
      </c>
      <c r="C2534" t="s">
        <v>65</v>
      </c>
    </row>
    <row r="2535" spans="1:3" x14ac:dyDescent="0.25">
      <c r="A2535" t="str">
        <f>"350005476"</f>
        <v>350005476</v>
      </c>
      <c r="B2535" t="str">
        <f>"RESIDENCE PERE BROTTIER"</f>
        <v>RESIDENCE PERE BROTTIER</v>
      </c>
      <c r="C2535" t="s">
        <v>65</v>
      </c>
    </row>
    <row r="2536" spans="1:3" x14ac:dyDescent="0.25">
      <c r="A2536" t="str">
        <f>"350005484"</f>
        <v>350005484</v>
      </c>
      <c r="B2536" t="str">
        <f>"EHPAD VILLA SAINT JOSEPH"</f>
        <v>EHPAD VILLA SAINT JOSEPH</v>
      </c>
      <c r="C2536" t="s">
        <v>65</v>
      </c>
    </row>
    <row r="2537" spans="1:3" x14ac:dyDescent="0.25">
      <c r="A2537" t="str">
        <f>"350005492"</f>
        <v>350005492</v>
      </c>
      <c r="B2537" t="str">
        <f>"EHPAD MA MAISON"</f>
        <v>EHPAD MA MAISON</v>
      </c>
      <c r="C2537" t="s">
        <v>65</v>
      </c>
    </row>
    <row r="2538" spans="1:3" x14ac:dyDescent="0.25">
      <c r="A2538" t="str">
        <f>"350005542"</f>
        <v>350005542</v>
      </c>
      <c r="B2538" t="str">
        <f>"EHPAD MAISON SAINT JOSEPH"</f>
        <v>EHPAD MAISON SAINT JOSEPH</v>
      </c>
      <c r="C2538" t="s">
        <v>65</v>
      </c>
    </row>
    <row r="2539" spans="1:3" x14ac:dyDescent="0.25">
      <c r="A2539" t="str">
        <f>"350005591"</f>
        <v>350005591</v>
      </c>
      <c r="B2539" t="str">
        <f>"EHPAD LA GUILMARAIS"</f>
        <v>EHPAD LA GUILMARAIS</v>
      </c>
      <c r="C2539" t="s">
        <v>65</v>
      </c>
    </row>
    <row r="2540" spans="1:3" x14ac:dyDescent="0.25">
      <c r="A2540" t="str">
        <f>"350006375"</f>
        <v>350006375</v>
      </c>
      <c r="B2540" t="str">
        <f>"EHPAD LE PLESSIS PONT PINEL"</f>
        <v>EHPAD LE PLESSIS PONT PINEL</v>
      </c>
      <c r="C2540" t="s">
        <v>65</v>
      </c>
    </row>
    <row r="2541" spans="1:3" x14ac:dyDescent="0.25">
      <c r="A2541" t="str">
        <f>"350006383"</f>
        <v>350006383</v>
      </c>
      <c r="B2541" t="str">
        <f>"RESIDENCE BEL AIR"</f>
        <v>RESIDENCE BEL AIR</v>
      </c>
      <c r="C2541" t="s">
        <v>65</v>
      </c>
    </row>
    <row r="2542" spans="1:3" x14ac:dyDescent="0.25">
      <c r="A2542" t="str">
        <f>"350006391"</f>
        <v>350006391</v>
      </c>
      <c r="B2542" t="str">
        <f>"RESIDENCE ALBERT AUBRY"</f>
        <v>RESIDENCE ALBERT AUBRY</v>
      </c>
      <c r="C2542" t="s">
        <v>65</v>
      </c>
    </row>
    <row r="2543" spans="1:3" x14ac:dyDescent="0.25">
      <c r="A2543" t="str">
        <f>"350006409"</f>
        <v>350006409</v>
      </c>
      <c r="B2543" t="str">
        <f>"MAISON SAINT JOSEPH DE CHAUDEBOEUF"</f>
        <v>MAISON SAINT JOSEPH DE CHAUDEBOEUF</v>
      </c>
      <c r="C2543" t="s">
        <v>65</v>
      </c>
    </row>
    <row r="2544" spans="1:3" x14ac:dyDescent="0.25">
      <c r="A2544" t="str">
        <f>"350006433"</f>
        <v>350006433</v>
      </c>
      <c r="B2544" t="str">
        <f>"EHPAD DU CH VITRE"</f>
        <v>EHPAD DU CH VITRE</v>
      </c>
      <c r="C2544" t="s">
        <v>65</v>
      </c>
    </row>
    <row r="2545" spans="1:3" x14ac:dyDescent="0.25">
      <c r="A2545" t="str">
        <f>"350006599"</f>
        <v>350006599</v>
      </c>
      <c r="B2545" t="str">
        <f>"EHPAD MA MAISON"</f>
        <v>EHPAD MA MAISON</v>
      </c>
      <c r="C2545" t="s">
        <v>65</v>
      </c>
    </row>
    <row r="2546" spans="1:3" x14ac:dyDescent="0.25">
      <c r="A2546" t="str">
        <f>"350006623"</f>
        <v>350006623</v>
      </c>
      <c r="B2546" t="str">
        <f>"RESIDENCE DE BROCELIANDE"</f>
        <v>RESIDENCE DE BROCELIANDE</v>
      </c>
      <c r="C2546" t="s">
        <v>65</v>
      </c>
    </row>
    <row r="2547" spans="1:3" x14ac:dyDescent="0.25">
      <c r="A2547" t="str">
        <f>"350006631"</f>
        <v>350006631</v>
      </c>
      <c r="B2547" t="str">
        <f>"RESIDENCE DES PRES BOSGERS"</f>
        <v>RESIDENCE DES PRES BOSGERS</v>
      </c>
      <c r="C2547" t="s">
        <v>65</v>
      </c>
    </row>
    <row r="2548" spans="1:3" x14ac:dyDescent="0.25">
      <c r="A2548" t="str">
        <f>"350006649"</f>
        <v>350006649</v>
      </c>
      <c r="B2548" t="str">
        <f>"EHPAD RESIDENCE DU GAST"</f>
        <v>EHPAD RESIDENCE DU GAST</v>
      </c>
      <c r="C2548" t="s">
        <v>65</v>
      </c>
    </row>
    <row r="2549" spans="1:3" x14ac:dyDescent="0.25">
      <c r="A2549" t="str">
        <f>"350006680"</f>
        <v>350006680</v>
      </c>
      <c r="B2549" t="str">
        <f>"MAISON DE RETRAITE R.THOMAS RENNES"</f>
        <v>MAISON DE RETRAITE R.THOMAS RENNES</v>
      </c>
      <c r="C2549" t="s">
        <v>65</v>
      </c>
    </row>
    <row r="2550" spans="1:3" x14ac:dyDescent="0.25">
      <c r="A2550" t="str">
        <f>"350006748"</f>
        <v>350006748</v>
      </c>
      <c r="B2550" t="str">
        <f>"MAISON DE RETRAITE - CH REDON"</f>
        <v>MAISON DE RETRAITE - CH REDON</v>
      </c>
      <c r="C2550" t="s">
        <v>65</v>
      </c>
    </row>
    <row r="2551" spans="1:3" x14ac:dyDescent="0.25">
      <c r="A2551" t="str">
        <f>"350006813"</f>
        <v>350006813</v>
      </c>
      <c r="B2551" t="str">
        <f>"EHPAD CH BROCELIANDE FONTAINE COSTARD"</f>
        <v>EHPAD CH BROCELIANDE FONTAINE COSTARD</v>
      </c>
      <c r="C2551" t="s">
        <v>65</v>
      </c>
    </row>
    <row r="2552" spans="1:3" x14ac:dyDescent="0.25">
      <c r="A2552" t="str">
        <f>"350006821"</f>
        <v>350006821</v>
      </c>
      <c r="B2552" t="str">
        <f>"EHPAD CH BROCELIANDE SITE MONTFORT"</f>
        <v>EHPAD CH BROCELIANDE SITE MONTFORT</v>
      </c>
      <c r="C2552" t="s">
        <v>65</v>
      </c>
    </row>
    <row r="2553" spans="1:3" x14ac:dyDescent="0.25">
      <c r="A2553" t="str">
        <f>"350006920"</f>
        <v>350006920</v>
      </c>
      <c r="B2553" t="str">
        <f>"RESIDENCE LE PONT AUX MOINES"</f>
        <v>RESIDENCE LE PONT AUX MOINES</v>
      </c>
      <c r="C2553" t="s">
        <v>65</v>
      </c>
    </row>
    <row r="2554" spans="1:3" x14ac:dyDescent="0.25">
      <c r="A2554" t="str">
        <f>"350006953"</f>
        <v>350006953</v>
      </c>
      <c r="B2554" t="str">
        <f>"EHPAD RESIDENCE DOCMAEL"</f>
        <v>EHPAD RESIDENCE DOCMAEL</v>
      </c>
      <c r="C2554" t="s">
        <v>65</v>
      </c>
    </row>
    <row r="2555" spans="1:3" x14ac:dyDescent="0.25">
      <c r="A2555" t="str">
        <f>"350006979"</f>
        <v>350006979</v>
      </c>
      <c r="B2555" t="str">
        <f>"EHPAD LES JARDINS DU PERRAY"</f>
        <v>EHPAD LES JARDINS DU PERRAY</v>
      </c>
      <c r="C2555" t="s">
        <v>65</v>
      </c>
    </row>
    <row r="2556" spans="1:3" x14ac:dyDescent="0.25">
      <c r="A2556" t="str">
        <f>"350006995"</f>
        <v>350006995</v>
      </c>
      <c r="B2556" t="str">
        <f>"EHPAD DE LA CHESNARDIERE"</f>
        <v>EHPAD DE LA CHESNARDIERE</v>
      </c>
      <c r="C2556" t="s">
        <v>65</v>
      </c>
    </row>
    <row r="2557" spans="1:3" x14ac:dyDescent="0.25">
      <c r="A2557" t="str">
        <f>"350007050"</f>
        <v>350007050</v>
      </c>
      <c r="B2557" t="str">
        <f>"EHPAD LA SAINTE FAMILLE"</f>
        <v>EHPAD LA SAINTE FAMILLE</v>
      </c>
      <c r="C2557" t="s">
        <v>65</v>
      </c>
    </row>
    <row r="2558" spans="1:3" x14ac:dyDescent="0.25">
      <c r="A2558" t="str">
        <f>"350007092"</f>
        <v>350007092</v>
      </c>
      <c r="B2558" t="str">
        <f>"RESIDENCE LES BRUYERES"</f>
        <v>RESIDENCE LES BRUYERES</v>
      </c>
      <c r="C2558" t="s">
        <v>65</v>
      </c>
    </row>
    <row r="2559" spans="1:3" x14ac:dyDescent="0.25">
      <c r="A2559" t="str">
        <f>"350007266"</f>
        <v>350007266</v>
      </c>
      <c r="B2559" t="str">
        <f>"RESIDENCE LA PARENTELE"</f>
        <v>RESIDENCE LA PARENTELE</v>
      </c>
      <c r="C2559" t="s">
        <v>65</v>
      </c>
    </row>
    <row r="2560" spans="1:3" x14ac:dyDescent="0.25">
      <c r="A2560" t="str">
        <f>"350007787"</f>
        <v>350007787</v>
      </c>
      <c r="B2560" t="str">
        <f>"MAISON DE RETRAITE SAINT-THUAL"</f>
        <v>MAISON DE RETRAITE SAINT-THUAL</v>
      </c>
      <c r="C2560" t="s">
        <v>65</v>
      </c>
    </row>
    <row r="2561" spans="1:3" x14ac:dyDescent="0.25">
      <c r="A2561" t="str">
        <f>"350007894"</f>
        <v>350007894</v>
      </c>
      <c r="B2561" t="str">
        <f>"RESIDENCE LE GRAND CHAMP"</f>
        <v>RESIDENCE LE GRAND CHAMP</v>
      </c>
      <c r="C2561" t="s">
        <v>65</v>
      </c>
    </row>
    <row r="2562" spans="1:3" x14ac:dyDescent="0.25">
      <c r="A2562" t="str">
        <f>"350007902"</f>
        <v>350007902</v>
      </c>
      <c r="B2562" t="str">
        <f>"RESIDENCE LA CLAIRE NOE"</f>
        <v>RESIDENCE LA CLAIRE NOE</v>
      </c>
      <c r="C2562" t="s">
        <v>65</v>
      </c>
    </row>
    <row r="2563" spans="1:3" x14ac:dyDescent="0.25">
      <c r="A2563" t="str">
        <f>"350008140"</f>
        <v>350008140</v>
      </c>
      <c r="B2563" t="str">
        <f>"EHPAD MA MAISON"</f>
        <v>EHPAD MA MAISON</v>
      </c>
      <c r="C2563" t="s">
        <v>65</v>
      </c>
    </row>
    <row r="2564" spans="1:3" x14ac:dyDescent="0.25">
      <c r="A2564" t="str">
        <f>"350008827"</f>
        <v>350008827</v>
      </c>
      <c r="B2564" t="str">
        <f>"RESIDENCE LE CLOS SAINT MARTIN"</f>
        <v>RESIDENCE LE CLOS SAINT MARTIN</v>
      </c>
      <c r="C2564" t="s">
        <v>65</v>
      </c>
    </row>
    <row r="2565" spans="1:3" x14ac:dyDescent="0.25">
      <c r="A2565" t="str">
        <f>"350009163"</f>
        <v>350009163</v>
      </c>
      <c r="B2565" t="str">
        <f>"RESIDENCE DU PARMENIER"</f>
        <v>RESIDENCE DU PARMENIER</v>
      </c>
      <c r="C2565" t="s">
        <v>65</v>
      </c>
    </row>
    <row r="2566" spans="1:3" x14ac:dyDescent="0.25">
      <c r="A2566" t="str">
        <f>"350010054"</f>
        <v>350010054</v>
      </c>
      <c r="B2566" t="str">
        <f>"EHPAD PARON"</f>
        <v>EHPAD PARON</v>
      </c>
      <c r="C2566" t="s">
        <v>65</v>
      </c>
    </row>
    <row r="2567" spans="1:3" x14ac:dyDescent="0.25">
      <c r="A2567" t="str">
        <f>"350012464"</f>
        <v>350012464</v>
      </c>
      <c r="B2567" t="str">
        <f>"RESIDENCE LES CHARMILLES"</f>
        <v>RESIDENCE LES CHARMILLES</v>
      </c>
      <c r="C2567" t="s">
        <v>65</v>
      </c>
    </row>
    <row r="2568" spans="1:3" x14ac:dyDescent="0.25">
      <c r="A2568" t="str">
        <f>"350013579"</f>
        <v>350013579</v>
      </c>
      <c r="B2568" t="str">
        <f>"EHPAD CHRU HOTEL DIEU"</f>
        <v>EHPAD CHRU HOTEL DIEU</v>
      </c>
      <c r="C2568" t="s">
        <v>65</v>
      </c>
    </row>
    <row r="2569" spans="1:3" x14ac:dyDescent="0.25">
      <c r="A2569" t="str">
        <f>"350013637"</f>
        <v>350013637</v>
      </c>
      <c r="B2569" t="str">
        <f>"EHPAD LA BRIANTAIS CH ST MALO"</f>
        <v>EHPAD LA BRIANTAIS CH ST MALO</v>
      </c>
      <c r="C2569" t="s">
        <v>65</v>
      </c>
    </row>
    <row r="2570" spans="1:3" x14ac:dyDescent="0.25">
      <c r="A2570" t="str">
        <f>"350013645"</f>
        <v>350013645</v>
      </c>
      <c r="B2570" t="str">
        <f>"EHPAD LA LOYSANCE"</f>
        <v>EHPAD LA LOYSANCE</v>
      </c>
      <c r="C2570" t="s">
        <v>65</v>
      </c>
    </row>
    <row r="2571" spans="1:3" x14ac:dyDescent="0.25">
      <c r="A2571" t="str">
        <f>"350013652"</f>
        <v>350013652</v>
      </c>
      <c r="B2571" t="str">
        <f>"MAISON DE RETRAITE CH FOUGERES"</f>
        <v>MAISON DE RETRAITE CH FOUGERES</v>
      </c>
      <c r="C2571" t="s">
        <v>65</v>
      </c>
    </row>
    <row r="2572" spans="1:3" x14ac:dyDescent="0.25">
      <c r="A2572" t="str">
        <f>"350013678"</f>
        <v>350013678</v>
      </c>
      <c r="B2572" t="str">
        <f>"RESIDENCE LA COLLINE"</f>
        <v>RESIDENCE LA COLLINE</v>
      </c>
      <c r="C2572" t="s">
        <v>65</v>
      </c>
    </row>
    <row r="2573" spans="1:3" x14ac:dyDescent="0.25">
      <c r="A2573" t="str">
        <f>"350013694"</f>
        <v>350013694</v>
      </c>
      <c r="B2573" t="str">
        <f>"EHPAD DU CH LA GUERCHE DE BGNE"</f>
        <v>EHPAD DU CH LA GUERCHE DE BGNE</v>
      </c>
      <c r="C2573" t="s">
        <v>65</v>
      </c>
    </row>
    <row r="2574" spans="1:3" x14ac:dyDescent="0.25">
      <c r="A2574" t="str">
        <f>"350013702"</f>
        <v>350013702</v>
      </c>
      <c r="B2574" t="str">
        <f>"MAISON DE RETRAITE DU CH"</f>
        <v>MAISON DE RETRAITE DU CH</v>
      </c>
      <c r="C2574" t="s">
        <v>65</v>
      </c>
    </row>
    <row r="2575" spans="1:3" x14ac:dyDescent="0.25">
      <c r="A2575" t="str">
        <f>"350013710"</f>
        <v>350013710</v>
      </c>
      <c r="B2575" t="str">
        <f>"EHPAD LES HAMEAUX DU COGLAIS"</f>
        <v>EHPAD LES HAMEAUX DU COGLAIS</v>
      </c>
      <c r="C2575" t="s">
        <v>65</v>
      </c>
    </row>
    <row r="2576" spans="1:3" x14ac:dyDescent="0.25">
      <c r="A2576" t="str">
        <f>"350023677"</f>
        <v>350023677</v>
      </c>
      <c r="B2576" t="str">
        <f>"RESIDENCE DE L'ILLE"</f>
        <v>RESIDENCE DE L'ILLE</v>
      </c>
      <c r="C2576" t="s">
        <v>65</v>
      </c>
    </row>
    <row r="2577" spans="1:3" x14ac:dyDescent="0.25">
      <c r="A2577" t="str">
        <f>"350024337"</f>
        <v>350024337</v>
      </c>
      <c r="B2577" t="str">
        <f>"EHPAD LES CHENES ROUX"</f>
        <v>EHPAD LES CHENES ROUX</v>
      </c>
      <c r="C2577" t="s">
        <v>65</v>
      </c>
    </row>
    <row r="2578" spans="1:3" x14ac:dyDescent="0.25">
      <c r="A2578" t="str">
        <f>"350025813"</f>
        <v>350025813</v>
      </c>
      <c r="B2578" t="str">
        <f>"LES JARDINS D'HERMINE"</f>
        <v>LES JARDINS D'HERMINE</v>
      </c>
      <c r="C2578" t="s">
        <v>65</v>
      </c>
    </row>
    <row r="2579" spans="1:3" x14ac:dyDescent="0.25">
      <c r="A2579" t="str">
        <f>"350028783"</f>
        <v>350028783</v>
      </c>
      <c r="B2579" t="str">
        <f>"RESIDENCE BEAUSOLEIL"</f>
        <v>RESIDENCE BEAUSOLEIL</v>
      </c>
      <c r="C2579" t="s">
        <v>65</v>
      </c>
    </row>
    <row r="2580" spans="1:3" x14ac:dyDescent="0.25">
      <c r="A2580" t="str">
        <f>"350028833"</f>
        <v>350028833</v>
      </c>
      <c r="B2580" t="str">
        <f>"EHPAD RESIDENCE LA CREPINIERE"</f>
        <v>EHPAD RESIDENCE LA CREPINIERE</v>
      </c>
      <c r="C2580" t="s">
        <v>65</v>
      </c>
    </row>
    <row r="2581" spans="1:3" x14ac:dyDescent="0.25">
      <c r="A2581" t="str">
        <f>"350028841"</f>
        <v>350028841</v>
      </c>
      <c r="B2581" t="str">
        <f>"RESIDENCE SAINT CONWOÏON"</f>
        <v>RESIDENCE SAINT CONWOÏON</v>
      </c>
      <c r="C2581" t="s">
        <v>65</v>
      </c>
    </row>
    <row r="2582" spans="1:3" x14ac:dyDescent="0.25">
      <c r="A2582" t="str">
        <f>"350028858"</f>
        <v>350028858</v>
      </c>
      <c r="B2582" t="str">
        <f>"RESIDENCE LES NYMPHEAS"</f>
        <v>RESIDENCE LES NYMPHEAS</v>
      </c>
      <c r="C2582" t="s">
        <v>65</v>
      </c>
    </row>
    <row r="2583" spans="1:3" x14ac:dyDescent="0.25">
      <c r="A2583" t="str">
        <f>"350030292"</f>
        <v>350030292</v>
      </c>
      <c r="B2583" t="str">
        <f>"EHPAD STV BAGUER MORVAN"</f>
        <v>EHPAD STV BAGUER MORVAN</v>
      </c>
      <c r="C2583" t="s">
        <v>65</v>
      </c>
    </row>
    <row r="2584" spans="1:3" x14ac:dyDescent="0.25">
      <c r="A2584" t="str">
        <f>"350030367"</f>
        <v>350030367</v>
      </c>
      <c r="B2584" t="str">
        <f>"RESIDENCE BELLEVUE"</f>
        <v>RESIDENCE BELLEVUE</v>
      </c>
      <c r="C2584" t="s">
        <v>65</v>
      </c>
    </row>
    <row r="2585" spans="1:3" x14ac:dyDescent="0.25">
      <c r="A2585" t="str">
        <f>"350030540"</f>
        <v>350030540</v>
      </c>
      <c r="B2585" t="str">
        <f>"RESIDENCE DE LA RABLAIS"</f>
        <v>RESIDENCE DE LA RABLAIS</v>
      </c>
      <c r="C2585" t="s">
        <v>65</v>
      </c>
    </row>
    <row r="2586" spans="1:3" x14ac:dyDescent="0.25">
      <c r="A2586" t="str">
        <f>"350030565"</f>
        <v>350030565</v>
      </c>
      <c r="B2586" t="str">
        <f>"RESIDENCE LE CHATEAU"</f>
        <v>RESIDENCE LE CHATEAU</v>
      </c>
      <c r="C2586" t="s">
        <v>65</v>
      </c>
    </row>
    <row r="2587" spans="1:3" x14ac:dyDescent="0.25">
      <c r="A2587" t="str">
        <f>"350030573"</f>
        <v>350030573</v>
      </c>
      <c r="B2587" t="str">
        <f>"MAISON DE RETRAITE LES ROSERAIES"</f>
        <v>MAISON DE RETRAITE LES ROSERAIES</v>
      </c>
      <c r="C2587" t="s">
        <v>65</v>
      </c>
    </row>
    <row r="2588" spans="1:3" x14ac:dyDescent="0.25">
      <c r="A2588" t="str">
        <f>"350030599"</f>
        <v>350030599</v>
      </c>
      <c r="B2588" t="str">
        <f>"RESIDENCE EDILYS LA VALLEE"</f>
        <v>RESIDENCE EDILYS LA VALLEE</v>
      </c>
      <c r="C2588" t="s">
        <v>65</v>
      </c>
    </row>
    <row r="2589" spans="1:3" x14ac:dyDescent="0.25">
      <c r="A2589" t="str">
        <f>"350030714"</f>
        <v>350030714</v>
      </c>
      <c r="B2589" t="str">
        <f>"RESIDENCE LE CHAMP MOULIN"</f>
        <v>RESIDENCE LE CHAMP MOULIN</v>
      </c>
      <c r="C2589" t="s">
        <v>65</v>
      </c>
    </row>
    <row r="2590" spans="1:3" x14ac:dyDescent="0.25">
      <c r="A2590" t="str">
        <f>"350030722"</f>
        <v>350030722</v>
      </c>
      <c r="B2590" t="str">
        <f>"RESIDENCE EDILYS"</f>
        <v>RESIDENCE EDILYS</v>
      </c>
      <c r="C2590" t="s">
        <v>65</v>
      </c>
    </row>
    <row r="2591" spans="1:3" x14ac:dyDescent="0.25">
      <c r="A2591" t="str">
        <f>"350030987"</f>
        <v>350030987</v>
      </c>
      <c r="B2591" t="str">
        <f>"EHPAD AU BON ACCUEIL"</f>
        <v>EHPAD AU BON ACCUEIL</v>
      </c>
      <c r="C2591" t="s">
        <v>65</v>
      </c>
    </row>
    <row r="2592" spans="1:3" x14ac:dyDescent="0.25">
      <c r="A2592" t="str">
        <f>"350030995"</f>
        <v>350030995</v>
      </c>
      <c r="B2592" t="str">
        <f>"EHPAD LES CHAMPS BLEUS"</f>
        <v>EHPAD LES CHAMPS BLEUS</v>
      </c>
      <c r="C2592" t="s">
        <v>65</v>
      </c>
    </row>
    <row r="2593" spans="1:3" x14ac:dyDescent="0.25">
      <c r="A2593" t="str">
        <f>"350031043"</f>
        <v>350031043</v>
      </c>
      <c r="B2593" t="str">
        <f>"RESIDENCE LE TREHELU"</f>
        <v>RESIDENCE LE TREHELU</v>
      </c>
      <c r="C2593" t="s">
        <v>65</v>
      </c>
    </row>
    <row r="2594" spans="1:3" x14ac:dyDescent="0.25">
      <c r="A2594" t="str">
        <f>"350031076"</f>
        <v>350031076</v>
      </c>
      <c r="B2594" t="str">
        <f>"RESIDENCE LES TROIS CHENES"</f>
        <v>RESIDENCE LES TROIS CHENES</v>
      </c>
      <c r="C2594" t="s">
        <v>65</v>
      </c>
    </row>
    <row r="2595" spans="1:3" x14ac:dyDescent="0.25">
      <c r="A2595" t="str">
        <f>"350031084"</f>
        <v>350031084</v>
      </c>
      <c r="B2595" t="str">
        <f>"RESIDENCE LA POTERIE"</f>
        <v>RESIDENCE LA POTERIE</v>
      </c>
      <c r="C2595" t="s">
        <v>65</v>
      </c>
    </row>
    <row r="2596" spans="1:3" x14ac:dyDescent="0.25">
      <c r="A2596" t="str">
        <f>"350031639"</f>
        <v>350031639</v>
      </c>
      <c r="B2596" t="str">
        <f>"RESIDENCE L'ADAGIO"</f>
        <v>RESIDENCE L'ADAGIO</v>
      </c>
      <c r="C2596" t="s">
        <v>65</v>
      </c>
    </row>
    <row r="2597" spans="1:3" x14ac:dyDescent="0.25">
      <c r="A2597" t="str">
        <f>"350031761"</f>
        <v>350031761</v>
      </c>
      <c r="B2597" t="str">
        <f>"RESIDENCE ARTHUR GARDINER"</f>
        <v>RESIDENCE ARTHUR GARDINER</v>
      </c>
      <c r="C2597" t="s">
        <v>65</v>
      </c>
    </row>
    <row r="2598" spans="1:3" x14ac:dyDescent="0.25">
      <c r="A2598" t="str">
        <f>"350031795"</f>
        <v>350031795</v>
      </c>
      <c r="B2598" t="str">
        <f>"EHPAD STV BAIN DE BRETAGNE"</f>
        <v>EHPAD STV BAIN DE BRETAGNE</v>
      </c>
      <c r="C2598" t="s">
        <v>65</v>
      </c>
    </row>
    <row r="2599" spans="1:3" x14ac:dyDescent="0.25">
      <c r="A2599" t="str">
        <f>"350032298"</f>
        <v>350032298</v>
      </c>
      <c r="B2599" t="str">
        <f>"EHPAD RESIDENCE DU PREVOT"</f>
        <v>EHPAD RESIDENCE DU PREVOT</v>
      </c>
      <c r="C2599" t="s">
        <v>65</v>
      </c>
    </row>
    <row r="2600" spans="1:3" x14ac:dyDescent="0.25">
      <c r="A2600" t="str">
        <f>"350032611"</f>
        <v>350032611</v>
      </c>
      <c r="B2600" t="str">
        <f>"EHPAD RESIDENCE LES TILLEULS"</f>
        <v>EHPAD RESIDENCE LES TILLEULS</v>
      </c>
      <c r="C2600" t="s">
        <v>65</v>
      </c>
    </row>
    <row r="2601" spans="1:3" x14ac:dyDescent="0.25">
      <c r="A2601" t="str">
        <f>"350032645"</f>
        <v>350032645</v>
      </c>
      <c r="B2601" t="str">
        <f>"RESIDENCE LES TILLEULS"</f>
        <v>RESIDENCE LES TILLEULS</v>
      </c>
      <c r="C2601" t="s">
        <v>65</v>
      </c>
    </row>
    <row r="2602" spans="1:3" x14ac:dyDescent="0.25">
      <c r="A2602" t="str">
        <f>"350032678"</f>
        <v>350032678</v>
      </c>
      <c r="B2602" t="str">
        <f>"RESIDENCE LA DOMNONEE"</f>
        <v>RESIDENCE LA DOMNONEE</v>
      </c>
      <c r="C2602" t="s">
        <v>65</v>
      </c>
    </row>
    <row r="2603" spans="1:3" x14ac:dyDescent="0.25">
      <c r="A2603" t="str">
        <f>"350032686"</f>
        <v>350032686</v>
      </c>
      <c r="B2603" t="str">
        <f>"EHPAD L'AUBINAGE"</f>
        <v>EHPAD L'AUBINAGE</v>
      </c>
      <c r="C2603" t="s">
        <v>65</v>
      </c>
    </row>
    <row r="2604" spans="1:3" x14ac:dyDescent="0.25">
      <c r="A2604" t="str">
        <f>"350032694"</f>
        <v>350032694</v>
      </c>
      <c r="B2604" t="str">
        <f>"RESIDENCE SAINT HELIER"</f>
        <v>RESIDENCE SAINT HELIER</v>
      </c>
      <c r="C2604" t="s">
        <v>65</v>
      </c>
    </row>
    <row r="2605" spans="1:3" x14ac:dyDescent="0.25">
      <c r="A2605" t="str">
        <f>"350032710"</f>
        <v>350032710</v>
      </c>
      <c r="B2605" t="str">
        <f>"MAISON DE RETRAITE LEON GRIMAULT"</f>
        <v>MAISON DE RETRAITE LEON GRIMAULT</v>
      </c>
      <c r="C2605" t="s">
        <v>65</v>
      </c>
    </row>
    <row r="2606" spans="1:3" x14ac:dyDescent="0.25">
      <c r="A2606" t="str">
        <f>"350033890"</f>
        <v>350033890</v>
      </c>
      <c r="B2606" t="str">
        <f>"EHPAD RESIDENCE LE CHEMIN VERT"</f>
        <v>EHPAD RESIDENCE LE CHEMIN VERT</v>
      </c>
      <c r="C2606" t="s">
        <v>65</v>
      </c>
    </row>
    <row r="2607" spans="1:3" x14ac:dyDescent="0.25">
      <c r="A2607" t="str">
        <f>"350039442"</f>
        <v>350039442</v>
      </c>
      <c r="B2607" t="str">
        <f>"KORIAN VILLA LA BALNEAIRE"</f>
        <v>KORIAN VILLA LA BALNEAIRE</v>
      </c>
      <c r="C2607" t="s">
        <v>65</v>
      </c>
    </row>
    <row r="2608" spans="1:3" x14ac:dyDescent="0.25">
      <c r="A2608" t="str">
        <f>"350039475"</f>
        <v>350039475</v>
      </c>
      <c r="B2608" t="str">
        <f>"EHPAD LE VOILIER BLEU"</f>
        <v>EHPAD LE VOILIER BLEU</v>
      </c>
      <c r="C2608" t="s">
        <v>65</v>
      </c>
    </row>
    <row r="2609" spans="1:3" x14ac:dyDescent="0.25">
      <c r="A2609" t="str">
        <f>"350039525"</f>
        <v>350039525</v>
      </c>
      <c r="B2609" t="str">
        <f>"MAISON DE RETRAITE DE CLEUNAY RENNES"</f>
        <v>MAISON DE RETRAITE DE CLEUNAY RENNES</v>
      </c>
      <c r="C2609" t="s">
        <v>65</v>
      </c>
    </row>
    <row r="2610" spans="1:3" x14ac:dyDescent="0.25">
      <c r="A2610" t="str">
        <f>"350039566"</f>
        <v>350039566</v>
      </c>
      <c r="B2610" t="str">
        <f>"EHPAD RESIDENCE DE LA BAIE"</f>
        <v>EHPAD RESIDENCE DE LA BAIE</v>
      </c>
      <c r="C2610" t="s">
        <v>65</v>
      </c>
    </row>
    <row r="2611" spans="1:3" x14ac:dyDescent="0.25">
      <c r="A2611" t="str">
        <f>"350040051"</f>
        <v>350040051</v>
      </c>
      <c r="B2611" t="str">
        <f>"RESIDENCE LES MARAIS"</f>
        <v>RESIDENCE LES MARAIS</v>
      </c>
      <c r="C2611" t="s">
        <v>65</v>
      </c>
    </row>
    <row r="2612" spans="1:3" x14ac:dyDescent="0.25">
      <c r="A2612" t="str">
        <f>"350040069"</f>
        <v>350040069</v>
      </c>
      <c r="B2612" t="str">
        <f>"LES ROSEAUX DE L' ILLE"</f>
        <v>LES ROSEAUX DE L' ILLE</v>
      </c>
      <c r="C2612" t="s">
        <v>65</v>
      </c>
    </row>
    <row r="2613" spans="1:3" x14ac:dyDescent="0.25">
      <c r="A2613" t="str">
        <f>"350040473"</f>
        <v>350040473</v>
      </c>
      <c r="B2613" t="str">
        <f>"MAISON DE RETRAITE GAETAN HERVE"</f>
        <v>MAISON DE RETRAITE GAETAN HERVE</v>
      </c>
      <c r="C2613" t="s">
        <v>65</v>
      </c>
    </row>
    <row r="2614" spans="1:3" x14ac:dyDescent="0.25">
      <c r="A2614" t="str">
        <f>"350040978"</f>
        <v>350040978</v>
      </c>
      <c r="B2614" t="str">
        <f>"RESIDENCE LE PRESSOIR"</f>
        <v>RESIDENCE LE PRESSOIR</v>
      </c>
      <c r="C2614" t="s">
        <v>65</v>
      </c>
    </row>
    <row r="2615" spans="1:3" x14ac:dyDescent="0.25">
      <c r="A2615" t="str">
        <f>"350041315"</f>
        <v>350041315</v>
      </c>
      <c r="B2615" t="str">
        <f>"EHPAD RESIDENCE DU BIGNON"</f>
        <v>EHPAD RESIDENCE DU BIGNON</v>
      </c>
      <c r="C2615" t="s">
        <v>65</v>
      </c>
    </row>
    <row r="2616" spans="1:3" x14ac:dyDescent="0.25">
      <c r="A2616" t="str">
        <f>"350042123"</f>
        <v>350042123</v>
      </c>
      <c r="B2616" t="str">
        <f>"KORIAN LE SOLIDOR"</f>
        <v>KORIAN LE SOLIDOR</v>
      </c>
      <c r="C2616" t="s">
        <v>65</v>
      </c>
    </row>
    <row r="2617" spans="1:3" x14ac:dyDescent="0.25">
      <c r="A2617" t="str">
        <f>"350042479"</f>
        <v>350042479</v>
      </c>
      <c r="B2617" t="str">
        <f>"RESIDENCE LES RONDINES"</f>
        <v>RESIDENCE LES RONDINES</v>
      </c>
      <c r="C2617" t="s">
        <v>65</v>
      </c>
    </row>
    <row r="2618" spans="1:3" x14ac:dyDescent="0.25">
      <c r="A2618" t="str">
        <f>"350042677"</f>
        <v>350042677</v>
      </c>
      <c r="B2618" t="str">
        <f>"RESIDENCE KERELYS"</f>
        <v>RESIDENCE KERELYS</v>
      </c>
      <c r="C2618" t="s">
        <v>65</v>
      </c>
    </row>
    <row r="2619" spans="1:3" x14ac:dyDescent="0.25">
      <c r="A2619" t="str">
        <f>"350043188"</f>
        <v>350043188</v>
      </c>
      <c r="B2619" t="str">
        <f>"MAISON DE LA VALLEE VERTE"</f>
        <v>MAISON DE LA VALLEE VERTE</v>
      </c>
      <c r="C2619" t="s">
        <v>65</v>
      </c>
    </row>
    <row r="2620" spans="1:3" x14ac:dyDescent="0.25">
      <c r="A2620" t="str">
        <f>"350043840"</f>
        <v>350043840</v>
      </c>
      <c r="B2620" t="str">
        <f>"EHPAD GUILLAUME REGNIER BRUZ"</f>
        <v>EHPAD GUILLAUME REGNIER BRUZ</v>
      </c>
      <c r="C2620" t="s">
        <v>65</v>
      </c>
    </row>
    <row r="2621" spans="1:3" x14ac:dyDescent="0.25">
      <c r="A2621" t="str">
        <f>"350044426"</f>
        <v>350044426</v>
      </c>
      <c r="B2621" t="str">
        <f>"RESIDENCE DE LA BUDORAIS"</f>
        <v>RESIDENCE DE LA BUDORAIS</v>
      </c>
      <c r="C2621" t="s">
        <v>65</v>
      </c>
    </row>
    <row r="2622" spans="1:3" x14ac:dyDescent="0.25">
      <c r="A2622" t="str">
        <f>"350044434"</f>
        <v>350044434</v>
      </c>
      <c r="B2622" t="str">
        <f>"RESIDENCE MUTUALISTE LA NOE"</f>
        <v>RESIDENCE MUTUALISTE LA NOE</v>
      </c>
      <c r="C2622" t="s">
        <v>65</v>
      </c>
    </row>
    <row r="2623" spans="1:3" x14ac:dyDescent="0.25">
      <c r="A2623" t="str">
        <f>"350045118"</f>
        <v>350045118</v>
      </c>
      <c r="B2623" t="str">
        <f>"EHPAD LUCIEN SCHROEDER"</f>
        <v>EHPAD LUCIEN SCHROEDER</v>
      </c>
      <c r="C2623" t="s">
        <v>65</v>
      </c>
    </row>
    <row r="2624" spans="1:3" x14ac:dyDescent="0.25">
      <c r="A2624" t="str">
        <f>"350045290"</f>
        <v>350045290</v>
      </c>
      <c r="B2624" t="str">
        <f>"EHPAD STV RENNES"</f>
        <v>EHPAD STV RENNES</v>
      </c>
      <c r="C2624" t="s">
        <v>65</v>
      </c>
    </row>
    <row r="2625" spans="1:3" x14ac:dyDescent="0.25">
      <c r="A2625" t="str">
        <f>"350045357"</f>
        <v>350045357</v>
      </c>
      <c r="B2625" t="str">
        <f>"LES MAISONS DE LA TOUCHE"</f>
        <v>LES MAISONS DE LA TOUCHE</v>
      </c>
      <c r="C2625" t="s">
        <v>65</v>
      </c>
    </row>
    <row r="2626" spans="1:3" x14ac:dyDescent="0.25">
      <c r="A2626" t="str">
        <f>"350045373"</f>
        <v>350045373</v>
      </c>
      <c r="B2626" t="str">
        <f>"RESIDENCE BORIS ANTONOFF"</f>
        <v>RESIDENCE BORIS ANTONOFF</v>
      </c>
      <c r="C2626" t="s">
        <v>65</v>
      </c>
    </row>
    <row r="2627" spans="1:3" x14ac:dyDescent="0.25">
      <c r="A2627" t="str">
        <f>"350046108"</f>
        <v>350046108</v>
      </c>
      <c r="B2627" t="str">
        <f>"RESIDENCE AOLYS LA FONTAINE AU LIEVRE"</f>
        <v>RESIDENCE AOLYS LA FONTAINE AU LIEVRE</v>
      </c>
      <c r="C2627" t="s">
        <v>65</v>
      </c>
    </row>
    <row r="2628" spans="1:3" x14ac:dyDescent="0.25">
      <c r="A2628" t="str">
        <f>"350046116"</f>
        <v>350046116</v>
      </c>
      <c r="B2628" t="str">
        <f>"EHPAD LES MENHIRS"</f>
        <v>EHPAD LES MENHIRS</v>
      </c>
      <c r="C2628" t="s">
        <v>65</v>
      </c>
    </row>
    <row r="2629" spans="1:3" x14ac:dyDescent="0.25">
      <c r="A2629" t="str">
        <f>"350046421"</f>
        <v>350046421</v>
      </c>
      <c r="B2629" t="str">
        <f>"RESIDENCE SAINTE ANNE"</f>
        <v>RESIDENCE SAINTE ANNE</v>
      </c>
      <c r="C2629" t="s">
        <v>65</v>
      </c>
    </row>
    <row r="2630" spans="1:3" x14ac:dyDescent="0.25">
      <c r="A2630" t="str">
        <f>"350046439"</f>
        <v>350046439</v>
      </c>
      <c r="B2630" t="str">
        <f>"LES MAISONS DE LA PLUMELIERE"</f>
        <v>LES MAISONS DE LA PLUMELIERE</v>
      </c>
      <c r="C2630" t="s">
        <v>65</v>
      </c>
    </row>
    <row r="2631" spans="1:3" x14ac:dyDescent="0.25">
      <c r="A2631" t="str">
        <f>"350046736"</f>
        <v>350046736</v>
      </c>
      <c r="B2631" t="str">
        <f>"EHPAD LA MAISON DES ATELIERS"</f>
        <v>EHPAD LA MAISON DES ATELIERS</v>
      </c>
      <c r="C2631" t="s">
        <v>65</v>
      </c>
    </row>
    <row r="2632" spans="1:3" x14ac:dyDescent="0.25">
      <c r="A2632" t="str">
        <f>"350046777"</f>
        <v>350046777</v>
      </c>
      <c r="B2632" t="str">
        <f>"EHPAD RESIDENCE LES MARAIS"</f>
        <v>EHPAD RESIDENCE LES MARAIS</v>
      </c>
      <c r="C2632" t="s">
        <v>65</v>
      </c>
    </row>
    <row r="2633" spans="1:3" x14ac:dyDescent="0.25">
      <c r="A2633" t="str">
        <f>"350046926"</f>
        <v>350046926</v>
      </c>
      <c r="B2633" t="str">
        <f>"RESIDENCE KERELYS"</f>
        <v>RESIDENCE KERELYS</v>
      </c>
      <c r="C2633" t="s">
        <v>65</v>
      </c>
    </row>
    <row r="2634" spans="1:3" x14ac:dyDescent="0.25">
      <c r="A2634" t="str">
        <f>"350047189"</f>
        <v>350047189</v>
      </c>
      <c r="B2634" t="str">
        <f>"RESIDENCE LES CHARMILLES"</f>
        <v>RESIDENCE LES CHARMILLES</v>
      </c>
      <c r="C2634" t="s">
        <v>65</v>
      </c>
    </row>
    <row r="2635" spans="1:3" x14ac:dyDescent="0.25">
      <c r="A2635" t="str">
        <f>"350047791"</f>
        <v>350047791</v>
      </c>
      <c r="B2635" t="str">
        <f>"EHPAD LA SAGESSE"</f>
        <v>EHPAD LA SAGESSE</v>
      </c>
      <c r="C2635" t="s">
        <v>65</v>
      </c>
    </row>
    <row r="2636" spans="1:3" x14ac:dyDescent="0.25">
      <c r="A2636" t="str">
        <f>"350049524"</f>
        <v>350049524</v>
      </c>
      <c r="B2636" t="str">
        <f>"EHPAD LA HAIZE CH ST MALO"</f>
        <v>EHPAD LA HAIZE CH ST MALO</v>
      </c>
      <c r="C2636" t="s">
        <v>65</v>
      </c>
    </row>
    <row r="2637" spans="1:3" x14ac:dyDescent="0.25">
      <c r="A2637" t="str">
        <f>"350049664"</f>
        <v>350049664</v>
      </c>
      <c r="B2637" t="str">
        <f>"EHPAD STV LA FLEUR DE SEL"</f>
        <v>EHPAD STV LA FLEUR DE SEL</v>
      </c>
      <c r="C2637" t="s">
        <v>65</v>
      </c>
    </row>
    <row r="2638" spans="1:3" x14ac:dyDescent="0.25">
      <c r="A2638" t="str">
        <f>"350049797"</f>
        <v>350049797</v>
      </c>
      <c r="B2638" t="str">
        <f>"RESIDENCE LA PARENTELE SITE L'ABBAYE"</f>
        <v>RESIDENCE LA PARENTELE SITE L'ABBAYE</v>
      </c>
      <c r="C2638" t="s">
        <v>65</v>
      </c>
    </row>
    <row r="2639" spans="1:3" x14ac:dyDescent="0.25">
      <c r="A2639" t="str">
        <f>"350052155"</f>
        <v>350052155</v>
      </c>
      <c r="B2639" t="str">
        <f>"EHPAD LES CHENES"</f>
        <v>EHPAD LES CHENES</v>
      </c>
      <c r="C2639" t="s">
        <v>65</v>
      </c>
    </row>
    <row r="2640" spans="1:3" x14ac:dyDescent="0.25">
      <c r="A2640" t="str">
        <f>"350052171"</f>
        <v>350052171</v>
      </c>
      <c r="B2640" t="str">
        <f>"EHPAD LES JARDINS DE L'IMMACULEE"</f>
        <v>EHPAD LES JARDINS DE L'IMMACULEE</v>
      </c>
      <c r="C2640" t="s">
        <v>65</v>
      </c>
    </row>
    <row r="2641" spans="1:3" x14ac:dyDescent="0.25">
      <c r="A2641" t="str">
        <f>"350053724"</f>
        <v>350053724</v>
      </c>
      <c r="B2641" t="str">
        <f>"EHPAD LES CORBIERES"</f>
        <v>EHPAD LES CORBIERES</v>
      </c>
      <c r="C2641" t="s">
        <v>65</v>
      </c>
    </row>
    <row r="2642" spans="1:3" x14ac:dyDescent="0.25">
      <c r="A2642" t="str">
        <f>"350054557"</f>
        <v>350054557</v>
      </c>
      <c r="B2642" t="str">
        <f>"EHPAD BETHANIE"</f>
        <v>EHPAD BETHANIE</v>
      </c>
      <c r="C2642" t="s">
        <v>65</v>
      </c>
    </row>
    <row r="2643" spans="1:3" x14ac:dyDescent="0.25">
      <c r="A2643" t="str">
        <f>"350055521"</f>
        <v>350055521</v>
      </c>
      <c r="B2643" t="str">
        <f>"EHPAD CH DE BROCELIANDE LA CROIX DUVAL"</f>
        <v>EHPAD CH DE BROCELIANDE LA CROIX DUVAL</v>
      </c>
      <c r="C2643" t="s">
        <v>65</v>
      </c>
    </row>
    <row r="2644" spans="1:3" x14ac:dyDescent="0.25">
      <c r="A2644" t="str">
        <f>"350055612"</f>
        <v>350055612</v>
      </c>
      <c r="B2644" t="str">
        <f>"RESIDENCE LE GRAND CHAMP SITE PLELAN"</f>
        <v>RESIDENCE LE GRAND CHAMP SITE PLELAN</v>
      </c>
      <c r="C2644" t="s">
        <v>65</v>
      </c>
    </row>
    <row r="2645" spans="1:3" x14ac:dyDescent="0.25">
      <c r="A2645" t="str">
        <f>"360000335"</f>
        <v>360000335</v>
      </c>
      <c r="B2645" t="str">
        <f>"EHPAD NOTRE DAME DU SACRE COEUR"</f>
        <v>EHPAD NOTRE DAME DU SACRE COEUR</v>
      </c>
      <c r="C2645" t="s">
        <v>63</v>
      </c>
    </row>
    <row r="2646" spans="1:3" x14ac:dyDescent="0.25">
      <c r="A2646" t="str">
        <f>"360002026"</f>
        <v>360002026</v>
      </c>
      <c r="B2646" t="str">
        <f>"EHPAD RESIDENCE DE LA BRENNE"</f>
        <v>EHPAD RESIDENCE DE LA BRENNE</v>
      </c>
      <c r="C2646" t="s">
        <v>63</v>
      </c>
    </row>
    <row r="2647" spans="1:3" x14ac:dyDescent="0.25">
      <c r="A2647" t="str">
        <f>"360002034"</f>
        <v>360002034</v>
      </c>
      <c r="B2647" t="str">
        <f>"EHPAD CHATEAU DES COTES"</f>
        <v>EHPAD CHATEAU DES COTES</v>
      </c>
      <c r="C2647" t="s">
        <v>63</v>
      </c>
    </row>
    <row r="2648" spans="1:3" x14ac:dyDescent="0.25">
      <c r="A2648" t="str">
        <f>"360002042"</f>
        <v>360002042</v>
      </c>
      <c r="B2648" t="str">
        <f>"EHPAD LE BOIS ROSIER"</f>
        <v>EHPAD LE BOIS ROSIER</v>
      </c>
      <c r="C2648" t="s">
        <v>63</v>
      </c>
    </row>
    <row r="2649" spans="1:3" x14ac:dyDescent="0.25">
      <c r="A2649" t="str">
        <f>"360002075"</f>
        <v>360002075</v>
      </c>
      <c r="B2649" t="str">
        <f>"EHPAD NOTRE DAME DE CONFIANCE"</f>
        <v>EHPAD NOTRE DAME DE CONFIANCE</v>
      </c>
      <c r="C2649" t="s">
        <v>63</v>
      </c>
    </row>
    <row r="2650" spans="1:3" x14ac:dyDescent="0.25">
      <c r="A2650" t="str">
        <f>"360002141"</f>
        <v>360002141</v>
      </c>
      <c r="B2650" t="str">
        <f>"EHPAD LE CASTEL"</f>
        <v>EHPAD LE CASTEL</v>
      </c>
      <c r="C2650" t="s">
        <v>63</v>
      </c>
    </row>
    <row r="2651" spans="1:3" x14ac:dyDescent="0.25">
      <c r="A2651" t="str">
        <f>"360002158"</f>
        <v>360002158</v>
      </c>
      <c r="B2651" t="str">
        <f>"EHPAD LA CHARMEE"</f>
        <v>EHPAD LA CHARMEE</v>
      </c>
      <c r="C2651" t="s">
        <v>63</v>
      </c>
    </row>
    <row r="2652" spans="1:3" x14ac:dyDescent="0.25">
      <c r="A2652" t="str">
        <f>"360002174"</f>
        <v>360002174</v>
      </c>
      <c r="B2652" t="str">
        <f>"EHPAD LA ROSERAIE"</f>
        <v>EHPAD LA ROSERAIE</v>
      </c>
      <c r="C2652" t="s">
        <v>63</v>
      </c>
    </row>
    <row r="2653" spans="1:3" x14ac:dyDescent="0.25">
      <c r="A2653" t="str">
        <f>"360002448"</f>
        <v>360002448</v>
      </c>
      <c r="B2653" t="str">
        <f>"EHPAD LES RIVES DE TREGONCE"</f>
        <v>EHPAD LES RIVES DE TREGONCE</v>
      </c>
      <c r="C2653" t="s">
        <v>63</v>
      </c>
    </row>
    <row r="2654" spans="1:3" x14ac:dyDescent="0.25">
      <c r="A2654" t="str">
        <f>"360002489"</f>
        <v>360002489</v>
      </c>
      <c r="B2654" t="str">
        <f>"EHPAD ROBERT TAILLEBOURG"</f>
        <v>EHPAD ROBERT TAILLEBOURG</v>
      </c>
      <c r="C2654" t="s">
        <v>63</v>
      </c>
    </row>
    <row r="2655" spans="1:3" x14ac:dyDescent="0.25">
      <c r="A2655" t="str">
        <f>"360002539"</f>
        <v>360002539</v>
      </c>
      <c r="B2655" t="str">
        <f>"EHPAD LOUIS BALSAN"</f>
        <v>EHPAD LOUIS BALSAN</v>
      </c>
      <c r="C2655" t="s">
        <v>63</v>
      </c>
    </row>
    <row r="2656" spans="1:3" x14ac:dyDescent="0.25">
      <c r="A2656" t="str">
        <f>"360002588"</f>
        <v>360002588</v>
      </c>
      <c r="B2656" t="str">
        <f>"EHPAD LA PLEIADE"</f>
        <v>EHPAD LA PLEIADE</v>
      </c>
      <c r="C2656" t="s">
        <v>63</v>
      </c>
    </row>
    <row r="2657" spans="1:3" x14ac:dyDescent="0.25">
      <c r="A2657" t="str">
        <f>"360003271"</f>
        <v>360003271</v>
      </c>
      <c r="B2657" t="str">
        <f>"EHPAD LA CUBISSOLE"</f>
        <v>EHPAD LA CUBISSOLE</v>
      </c>
      <c r="C2657" t="s">
        <v>63</v>
      </c>
    </row>
    <row r="2658" spans="1:3" x14ac:dyDescent="0.25">
      <c r="A2658" t="str">
        <f>"360003305"</f>
        <v>360003305</v>
      </c>
      <c r="B2658" t="str">
        <f>"EHPAD BEL AIR DU CH ISSOUDUN"</f>
        <v>EHPAD BEL AIR DU CH ISSOUDUN</v>
      </c>
      <c r="C2658" t="s">
        <v>63</v>
      </c>
    </row>
    <row r="2659" spans="1:3" x14ac:dyDescent="0.25">
      <c r="A2659" t="str">
        <f>"360003313"</f>
        <v>360003313</v>
      </c>
      <c r="B2659" t="str">
        <f>"EHPAD RESIDENCE L OZANCE"</f>
        <v>EHPAD RESIDENCE L OZANCE</v>
      </c>
      <c r="C2659" t="s">
        <v>63</v>
      </c>
    </row>
    <row r="2660" spans="1:3" x14ac:dyDescent="0.25">
      <c r="A2660" t="str">
        <f>"360003321"</f>
        <v>360003321</v>
      </c>
      <c r="B2660" t="str">
        <f>"EHPAD SAINT JOSEPH"</f>
        <v>EHPAD SAINT JOSEPH</v>
      </c>
      <c r="C2660" t="s">
        <v>63</v>
      </c>
    </row>
    <row r="2661" spans="1:3" x14ac:dyDescent="0.25">
      <c r="A2661" t="str">
        <f>"360003339"</f>
        <v>360003339</v>
      </c>
      <c r="B2661" t="str">
        <f>"EHPAD LE CLOS DU VERGER"</f>
        <v>EHPAD LE CLOS DU VERGER</v>
      </c>
      <c r="C2661" t="s">
        <v>63</v>
      </c>
    </row>
    <row r="2662" spans="1:3" x14ac:dyDescent="0.25">
      <c r="A2662" t="str">
        <f>"360003354"</f>
        <v>360003354</v>
      </c>
      <c r="B2662" t="str">
        <f>"EHPAD LE NAHON DU CH VALENCAY"</f>
        <v>EHPAD LE NAHON DU CH VALENCAY</v>
      </c>
      <c r="C2662" t="s">
        <v>63</v>
      </c>
    </row>
    <row r="2663" spans="1:3" x14ac:dyDescent="0.25">
      <c r="A2663" t="str">
        <f>"360003362"</f>
        <v>360003362</v>
      </c>
      <c r="B2663" t="str">
        <f>"EHPAD GEORGE SAND"</f>
        <v>EHPAD GEORGE SAND</v>
      </c>
      <c r="C2663" t="s">
        <v>63</v>
      </c>
    </row>
    <row r="2664" spans="1:3" x14ac:dyDescent="0.25">
      <c r="A2664" t="str">
        <f>"360003370"</f>
        <v>360003370</v>
      </c>
      <c r="B2664" t="str">
        <f>"EHPAD BETHANIE"</f>
        <v>EHPAD BETHANIE</v>
      </c>
      <c r="C2664" t="s">
        <v>63</v>
      </c>
    </row>
    <row r="2665" spans="1:3" x14ac:dyDescent="0.25">
      <c r="A2665" t="str">
        <f>"360003479"</f>
        <v>360003479</v>
      </c>
      <c r="B2665" t="str">
        <f>"EHPAD DE CLUIS"</f>
        <v>EHPAD DE CLUIS</v>
      </c>
      <c r="C2665" t="s">
        <v>63</v>
      </c>
    </row>
    <row r="2666" spans="1:3" x14ac:dyDescent="0.25">
      <c r="A2666" t="str">
        <f>"360004451"</f>
        <v>360004451</v>
      </c>
      <c r="B2666" t="str">
        <f>"EHPAD LA CHAUME"</f>
        <v>EHPAD LA CHAUME</v>
      </c>
      <c r="C2666" t="s">
        <v>63</v>
      </c>
    </row>
    <row r="2667" spans="1:3" x14ac:dyDescent="0.25">
      <c r="A2667" t="str">
        <f>"360004584"</f>
        <v>360004584</v>
      </c>
      <c r="B2667" t="str">
        <f>"EHPAD REFLETS D ARGENT ARCADES"</f>
        <v>EHPAD REFLETS D ARGENT ARCADES</v>
      </c>
      <c r="C2667" t="s">
        <v>63</v>
      </c>
    </row>
    <row r="2668" spans="1:3" x14ac:dyDescent="0.25">
      <c r="A2668" t="str">
        <f>"360004600"</f>
        <v>360004600</v>
      </c>
      <c r="B2668" t="str">
        <f>"EHPAD ST LAZARE"</f>
        <v>EHPAD ST LAZARE</v>
      </c>
      <c r="C2668" t="s">
        <v>63</v>
      </c>
    </row>
    <row r="2669" spans="1:3" x14ac:dyDescent="0.25">
      <c r="A2669" t="str">
        <f>"360004634"</f>
        <v>360004634</v>
      </c>
      <c r="B2669" t="str">
        <f>"EHPAD DU CH CHATILLON SUR INDRE"</f>
        <v>EHPAD DU CH CHATILLON SUR INDRE</v>
      </c>
      <c r="C2669" t="s">
        <v>63</v>
      </c>
    </row>
    <row r="2670" spans="1:3" x14ac:dyDescent="0.25">
      <c r="A2670" t="str">
        <f>"360004675"</f>
        <v>360004675</v>
      </c>
      <c r="B2670" t="str">
        <f>"EHPAD SAINT ROCH"</f>
        <v>EHPAD SAINT ROCH</v>
      </c>
      <c r="C2670" t="s">
        <v>63</v>
      </c>
    </row>
    <row r="2671" spans="1:3" x14ac:dyDescent="0.25">
      <c r="A2671" t="str">
        <f>"360004691"</f>
        <v>360004691</v>
      </c>
      <c r="B2671" t="str">
        <f>"EHPAD PIERRE ANGRAND GIREUGNE"</f>
        <v>EHPAD PIERRE ANGRAND GIREUGNE</v>
      </c>
      <c r="C2671" t="s">
        <v>63</v>
      </c>
    </row>
    <row r="2672" spans="1:3" x14ac:dyDescent="0.25">
      <c r="A2672" t="str">
        <f>"360004717"</f>
        <v>360004717</v>
      </c>
      <c r="B2672" t="str">
        <f>"EHPAD LES TROIS RIVIERES GIREUGNE"</f>
        <v>EHPAD LES TROIS RIVIERES GIREUGNE</v>
      </c>
      <c r="C2672" t="s">
        <v>63</v>
      </c>
    </row>
    <row r="2673" spans="1:3" x14ac:dyDescent="0.25">
      <c r="A2673" t="str">
        <f>"360004725"</f>
        <v>360004725</v>
      </c>
      <c r="B2673" t="str">
        <f>"EHPAD FREDERIC CHOPIN GIREUGNE"</f>
        <v>EHPAD FREDERIC CHOPIN GIREUGNE</v>
      </c>
      <c r="C2673" t="s">
        <v>63</v>
      </c>
    </row>
    <row r="2674" spans="1:3" x14ac:dyDescent="0.25">
      <c r="A2674" t="str">
        <f>"360004733"</f>
        <v>360004733</v>
      </c>
      <c r="B2674" t="str">
        <f>"EHPAD LES EPIS D OR"</f>
        <v>EHPAD LES EPIS D OR</v>
      </c>
      <c r="C2674" t="s">
        <v>63</v>
      </c>
    </row>
    <row r="2675" spans="1:3" x14ac:dyDescent="0.25">
      <c r="A2675" t="str">
        <f>"360004741"</f>
        <v>360004741</v>
      </c>
      <c r="B2675" t="str">
        <f>"EHPAD D AIGURANDE DU CH LA CHATRE"</f>
        <v>EHPAD D AIGURANDE DU CH LA CHATRE</v>
      </c>
      <c r="C2675" t="s">
        <v>63</v>
      </c>
    </row>
    <row r="2676" spans="1:3" x14ac:dyDescent="0.25">
      <c r="A2676" t="str">
        <f>"360005110"</f>
        <v>360005110</v>
      </c>
      <c r="B2676" t="str">
        <f>"EHPAD DU CH DE LEVROUX"</f>
        <v>EHPAD DU CH DE LEVROUX</v>
      </c>
      <c r="C2676" t="s">
        <v>63</v>
      </c>
    </row>
    <row r="2677" spans="1:3" x14ac:dyDescent="0.25">
      <c r="A2677" t="str">
        <f>"360005904"</f>
        <v>360005904</v>
      </c>
      <c r="B2677" t="str">
        <f>"EHPAD LES JARDINS D AUTOMNE"</f>
        <v>EHPAD LES JARDINS D AUTOMNE</v>
      </c>
      <c r="C2677" t="s">
        <v>63</v>
      </c>
    </row>
    <row r="2678" spans="1:3" x14ac:dyDescent="0.25">
      <c r="A2678" t="str">
        <f>"360006126"</f>
        <v>360006126</v>
      </c>
      <c r="B2678" t="str">
        <f>"EHPAD KORIAN HAMEAU D EGUZON"</f>
        <v>EHPAD KORIAN HAMEAU D EGUZON</v>
      </c>
      <c r="C2678" t="s">
        <v>63</v>
      </c>
    </row>
    <row r="2679" spans="1:3" x14ac:dyDescent="0.25">
      <c r="A2679" t="str">
        <f>"360006175"</f>
        <v>360006175</v>
      </c>
      <c r="B2679" t="str">
        <f>"EHPAD RESIDENCE LA VAQUINE"</f>
        <v>EHPAD RESIDENCE LA VAQUINE</v>
      </c>
      <c r="C2679" t="s">
        <v>63</v>
      </c>
    </row>
    <row r="2680" spans="1:3" x14ac:dyDescent="0.25">
      <c r="A2680" t="str">
        <f>"360006217"</f>
        <v>360006217</v>
      </c>
      <c r="B2680" t="str">
        <f>"EHPAD RIVE ARDENTE"</f>
        <v>EHPAD RIVE ARDENTE</v>
      </c>
      <c r="C2680" t="s">
        <v>63</v>
      </c>
    </row>
    <row r="2681" spans="1:3" x14ac:dyDescent="0.25">
      <c r="A2681" t="str">
        <f>"360006381"</f>
        <v>360006381</v>
      </c>
      <c r="B2681" t="str">
        <f>"EHPAD LA ROCHE BELLUSSON"</f>
        <v>EHPAD LA ROCHE BELLUSSON</v>
      </c>
      <c r="C2681" t="s">
        <v>63</v>
      </c>
    </row>
    <row r="2682" spans="1:3" x14ac:dyDescent="0.25">
      <c r="A2682" t="str">
        <f>"360006480"</f>
        <v>360006480</v>
      </c>
      <c r="B2682" t="str">
        <f>"EHPAD LES GRANDS CHENES"</f>
        <v>EHPAD LES GRANDS CHENES</v>
      </c>
      <c r="C2682" t="s">
        <v>63</v>
      </c>
    </row>
    <row r="2683" spans="1:3" x14ac:dyDescent="0.25">
      <c r="A2683" t="str">
        <f>"360007009"</f>
        <v>360007009</v>
      </c>
      <c r="B2683" t="str">
        <f>"EHPAD SAINT JEAN"</f>
        <v>EHPAD SAINT JEAN</v>
      </c>
      <c r="C2683" t="s">
        <v>63</v>
      </c>
    </row>
    <row r="2684" spans="1:3" x14ac:dyDescent="0.25">
      <c r="A2684" t="str">
        <f>"360007025"</f>
        <v>360007025</v>
      </c>
      <c r="B2684" t="str">
        <f>"EHPAD DU CH LA CHATRE"</f>
        <v>EHPAD DU CH LA CHATRE</v>
      </c>
      <c r="C2684" t="s">
        <v>63</v>
      </c>
    </row>
    <row r="2685" spans="1:3" x14ac:dyDescent="0.25">
      <c r="A2685" t="str">
        <f>"360007421"</f>
        <v>360007421</v>
      </c>
      <c r="B2685" t="str">
        <f>"EHPAD LE VAL D ANGLIN"</f>
        <v>EHPAD LE VAL D ANGLIN</v>
      </c>
      <c r="C2685" t="s">
        <v>63</v>
      </c>
    </row>
    <row r="2686" spans="1:3" x14ac:dyDescent="0.25">
      <c r="A2686" t="str">
        <f>"360008122"</f>
        <v>360008122</v>
      </c>
      <c r="B2686" t="str">
        <f>"EHPAD DU CH LEVROUX SITE SECONDAIRE"</f>
        <v>EHPAD DU CH LEVROUX SITE SECONDAIRE</v>
      </c>
      <c r="C2686" t="s">
        <v>63</v>
      </c>
    </row>
    <row r="2687" spans="1:3" x14ac:dyDescent="0.25">
      <c r="A2687" t="str">
        <f>"360008809"</f>
        <v>360008809</v>
      </c>
      <c r="B2687" t="str">
        <f>"EHPAD SITE PRINCIPAL CH VALENCAY"</f>
        <v>EHPAD SITE PRINCIPAL CH VALENCAY</v>
      </c>
      <c r="C2687" t="s">
        <v>63</v>
      </c>
    </row>
    <row r="2688" spans="1:3" x14ac:dyDescent="0.25">
      <c r="A2688" t="str">
        <f>"370000242"</f>
        <v>370000242</v>
      </c>
      <c r="B2688" t="str">
        <f>"EHPAD KORIAN LA CROIX PERIGOURD"</f>
        <v>EHPAD KORIAN LA CROIX PERIGOURD</v>
      </c>
      <c r="C2688" t="s">
        <v>63</v>
      </c>
    </row>
    <row r="2689" spans="1:3" x14ac:dyDescent="0.25">
      <c r="A2689" t="str">
        <f>"370000507"</f>
        <v>370000507</v>
      </c>
      <c r="B2689" t="str">
        <f>"EHPAD NOTRE DAME DES EAUX"</f>
        <v>EHPAD NOTRE DAME DES EAUX</v>
      </c>
      <c r="C2689" t="s">
        <v>63</v>
      </c>
    </row>
    <row r="2690" spans="1:3" x14ac:dyDescent="0.25">
      <c r="A2690" t="str">
        <f>"370000556"</f>
        <v>370000556</v>
      </c>
      <c r="B2690" t="str">
        <f>"EHPAD LES GROUSSINS CH CHINONAIS"</f>
        <v>EHPAD LES GROUSSINS CH CHINONAIS</v>
      </c>
      <c r="C2690" t="s">
        <v>63</v>
      </c>
    </row>
    <row r="2691" spans="1:3" x14ac:dyDescent="0.25">
      <c r="A2691" t="str">
        <f>"370000572"</f>
        <v>370000572</v>
      </c>
      <c r="B2691" t="str">
        <f>"EHPAD ST DENIS CH AMB CHATEAURENAULT"</f>
        <v>EHPAD ST DENIS CH AMB CHATEAURENAULT</v>
      </c>
      <c r="C2691" t="s">
        <v>63</v>
      </c>
    </row>
    <row r="2692" spans="1:3" x14ac:dyDescent="0.25">
      <c r="A2692" t="str">
        <f>"370000598"</f>
        <v>370000598</v>
      </c>
      <c r="B2692" t="str">
        <f>"EHPAD GASTON CHARGE"</f>
        <v>EHPAD GASTON CHARGE</v>
      </c>
      <c r="C2692" t="s">
        <v>63</v>
      </c>
    </row>
    <row r="2693" spans="1:3" x14ac:dyDescent="0.25">
      <c r="A2693" t="str">
        <f>"370000622"</f>
        <v>370000622</v>
      </c>
      <c r="B2693" t="str">
        <f>"EHPAD L AUVERDIERE ET LA COURTILLE"</f>
        <v>EHPAD L AUVERDIERE ET LA COURTILLE</v>
      </c>
      <c r="C2693" t="s">
        <v>63</v>
      </c>
    </row>
    <row r="2694" spans="1:3" x14ac:dyDescent="0.25">
      <c r="A2694" t="str">
        <f>"370000630"</f>
        <v>370000630</v>
      </c>
      <c r="B2694" t="str">
        <f>"EHPAD RIV AGE DE LOIRE"</f>
        <v>EHPAD RIV AGE DE LOIRE</v>
      </c>
      <c r="C2694" t="s">
        <v>63</v>
      </c>
    </row>
    <row r="2695" spans="1:3" x14ac:dyDescent="0.25">
      <c r="A2695" t="str">
        <f>"370000648"</f>
        <v>370000648</v>
      </c>
      <c r="B2695" t="str">
        <f>"EHPAD LOUISE DE LA VALLIERE"</f>
        <v>EHPAD LOUISE DE LA VALLIERE</v>
      </c>
      <c r="C2695" t="s">
        <v>63</v>
      </c>
    </row>
    <row r="2696" spans="1:3" x14ac:dyDescent="0.25">
      <c r="A2696" t="str">
        <f>"370000655"</f>
        <v>370000655</v>
      </c>
      <c r="B2696" t="str">
        <f>"EHPAD DEBROU"</f>
        <v>EHPAD DEBROU</v>
      </c>
      <c r="C2696" t="s">
        <v>63</v>
      </c>
    </row>
    <row r="2697" spans="1:3" x14ac:dyDescent="0.25">
      <c r="A2697" t="str">
        <f>"370000663"</f>
        <v>370000663</v>
      </c>
      <c r="B2697" t="str">
        <f>"EHPAD BALTHAZAR BESNARD"</f>
        <v>EHPAD BALTHAZAR BESNARD</v>
      </c>
      <c r="C2697" t="s">
        <v>63</v>
      </c>
    </row>
    <row r="2698" spans="1:3" x14ac:dyDescent="0.25">
      <c r="A2698" t="str">
        <f>"370000671"</f>
        <v>370000671</v>
      </c>
      <c r="B2698" t="str">
        <f>"EHPAD LE CLOS MIGNOT"</f>
        <v>EHPAD LE CLOS MIGNOT</v>
      </c>
      <c r="C2698" t="s">
        <v>63</v>
      </c>
    </row>
    <row r="2699" spans="1:3" x14ac:dyDescent="0.25">
      <c r="A2699" t="str">
        <f>"370000689"</f>
        <v>370000689</v>
      </c>
      <c r="B2699" t="str">
        <f>"EHPAD LA BOURDAISIERE"</f>
        <v>EHPAD LA BOURDAISIERE</v>
      </c>
      <c r="C2699" t="s">
        <v>63</v>
      </c>
    </row>
    <row r="2700" spans="1:3" x14ac:dyDescent="0.25">
      <c r="A2700" t="str">
        <f>"370000697"</f>
        <v>370000697</v>
      </c>
      <c r="B2700" t="str">
        <f>"EHPAD DAUPHIN"</f>
        <v>EHPAD DAUPHIN</v>
      </c>
      <c r="C2700" t="s">
        <v>63</v>
      </c>
    </row>
    <row r="2701" spans="1:3" x14ac:dyDescent="0.25">
      <c r="A2701" t="str">
        <f>"370000705"</f>
        <v>370000705</v>
      </c>
      <c r="B2701" t="str">
        <f>"EHPAD POLE SENIOR POLE SANTE SUD 37"</f>
        <v>EHPAD POLE SENIOR POLE SANTE SUD 37</v>
      </c>
      <c r="C2701" t="s">
        <v>63</v>
      </c>
    </row>
    <row r="2702" spans="1:3" x14ac:dyDescent="0.25">
      <c r="A2702" t="str">
        <f>"370000721"</f>
        <v>370000721</v>
      </c>
      <c r="B2702" t="str">
        <f>"EHPAD VAL DE BRENNE"</f>
        <v>EHPAD VAL DE BRENNE</v>
      </c>
      <c r="C2702" t="s">
        <v>63</v>
      </c>
    </row>
    <row r="2703" spans="1:3" x14ac:dyDescent="0.25">
      <c r="A2703" t="str">
        <f>"370000754"</f>
        <v>370000754</v>
      </c>
      <c r="B2703" t="str">
        <f>"EHPAD DR MARCEL FORTIER"</f>
        <v>EHPAD DR MARCEL FORTIER</v>
      </c>
      <c r="C2703" t="s">
        <v>63</v>
      </c>
    </row>
    <row r="2704" spans="1:3" x14ac:dyDescent="0.25">
      <c r="A2704" t="str">
        <f>"370002388"</f>
        <v>370002388</v>
      </c>
      <c r="B2704" t="str">
        <f>"EHPAD LE LANGEOIS"</f>
        <v>EHPAD LE LANGEOIS</v>
      </c>
      <c r="C2704" t="s">
        <v>63</v>
      </c>
    </row>
    <row r="2705" spans="1:3" x14ac:dyDescent="0.25">
      <c r="A2705" t="str">
        <f>"370002412"</f>
        <v>370002412</v>
      </c>
      <c r="B2705" t="str">
        <f>"EHPAD L ERMITAGE DU CHRU DE TOURS"</f>
        <v>EHPAD L ERMITAGE DU CHRU DE TOURS</v>
      </c>
      <c r="C2705" t="s">
        <v>63</v>
      </c>
    </row>
    <row r="2706" spans="1:3" x14ac:dyDescent="0.25">
      <c r="A2706" t="str">
        <f>"370002495"</f>
        <v>370002495</v>
      </c>
      <c r="B2706" t="str">
        <f>"EHPAD RESIDENCE LA VASSELIERE"</f>
        <v>EHPAD RESIDENCE LA VASSELIERE</v>
      </c>
      <c r="C2706" t="s">
        <v>63</v>
      </c>
    </row>
    <row r="2707" spans="1:3" x14ac:dyDescent="0.25">
      <c r="A2707" t="str">
        <f>"370003089"</f>
        <v>370003089</v>
      </c>
      <c r="B2707" t="str">
        <f>"EHPAD KORIAN LE DOYENNE DE VENCAY"</f>
        <v>EHPAD KORIAN LE DOYENNE DE VENCAY</v>
      </c>
      <c r="C2707" t="s">
        <v>63</v>
      </c>
    </row>
    <row r="2708" spans="1:3" x14ac:dyDescent="0.25">
      <c r="A2708" t="str">
        <f>"370004186"</f>
        <v>370004186</v>
      </c>
      <c r="B2708" t="str">
        <f>"EHPAD SAINTE CLAIRE"</f>
        <v>EHPAD SAINTE CLAIRE</v>
      </c>
      <c r="C2708" t="s">
        <v>63</v>
      </c>
    </row>
    <row r="2709" spans="1:3" x14ac:dyDescent="0.25">
      <c r="A2709" t="str">
        <f>"370004228"</f>
        <v>370004228</v>
      </c>
      <c r="B2709" t="str">
        <f>"EHPAD GD MAIL CH AMB CHATEAURENAULT"</f>
        <v>EHPAD GD MAIL CH AMB CHATEAURENAULT</v>
      </c>
      <c r="C2709" t="s">
        <v>63</v>
      </c>
    </row>
    <row r="2710" spans="1:3" x14ac:dyDescent="0.25">
      <c r="A2710" t="str">
        <f>"370004285"</f>
        <v>370004285</v>
      </c>
      <c r="B2710" t="str">
        <f>"EHPAD PUYGIBAULT DU CH DE LOCHES"</f>
        <v>EHPAD PUYGIBAULT DU CH DE LOCHES</v>
      </c>
      <c r="C2710" t="s">
        <v>63</v>
      </c>
    </row>
    <row r="2711" spans="1:3" x14ac:dyDescent="0.25">
      <c r="A2711" t="str">
        <f>"370004319"</f>
        <v>370004319</v>
      </c>
      <c r="B2711" t="str">
        <f>"EHPAD SABLONNIERES DU CH DE STE MAURE"</f>
        <v>EHPAD SABLONNIERES DU CH DE STE MAURE</v>
      </c>
      <c r="C2711" t="s">
        <v>63</v>
      </c>
    </row>
    <row r="2712" spans="1:3" x14ac:dyDescent="0.25">
      <c r="A2712" t="str">
        <f>"370005142"</f>
        <v>370005142</v>
      </c>
      <c r="B2712" t="str">
        <f>"EHPAD LA SOURCE"</f>
        <v>EHPAD LA SOURCE</v>
      </c>
      <c r="C2712" t="s">
        <v>63</v>
      </c>
    </row>
    <row r="2713" spans="1:3" x14ac:dyDescent="0.25">
      <c r="A2713" t="str">
        <f>"370005159"</f>
        <v>370005159</v>
      </c>
      <c r="B2713" t="str">
        <f>"EHPAD PRIEURE DE SAINT LOUANS"</f>
        <v>EHPAD PRIEURE DE SAINT LOUANS</v>
      </c>
      <c r="C2713" t="s">
        <v>63</v>
      </c>
    </row>
    <row r="2714" spans="1:3" x14ac:dyDescent="0.25">
      <c r="A2714" t="str">
        <f>"370005167"</f>
        <v>370005167</v>
      </c>
      <c r="B2714" t="str">
        <f>"EHPAD L ABBATIALE"</f>
        <v>EHPAD L ABBATIALE</v>
      </c>
      <c r="C2714" t="s">
        <v>63</v>
      </c>
    </row>
    <row r="2715" spans="1:3" x14ac:dyDescent="0.25">
      <c r="A2715" t="str">
        <f>"370005175"</f>
        <v>370005175</v>
      </c>
      <c r="B2715" t="str">
        <f>"EHPAD RESIDENCE LES GRANDS CHENES"</f>
        <v>EHPAD RESIDENCE LES GRANDS CHENES</v>
      </c>
      <c r="C2715" t="s">
        <v>63</v>
      </c>
    </row>
    <row r="2716" spans="1:3" x14ac:dyDescent="0.25">
      <c r="A2716" t="str">
        <f>"370005191"</f>
        <v>370005191</v>
      </c>
      <c r="B2716" t="str">
        <f>"EHPAD RESIDENCE COURTELINE"</f>
        <v>EHPAD RESIDENCE COURTELINE</v>
      </c>
      <c r="C2716" t="s">
        <v>63</v>
      </c>
    </row>
    <row r="2717" spans="1:3" x14ac:dyDescent="0.25">
      <c r="A2717" t="str">
        <f>"370005209"</f>
        <v>370005209</v>
      </c>
      <c r="B2717" t="str">
        <f>"EHPAD LEOPOLD BELLAN"</f>
        <v>EHPAD LEOPOLD BELLAN</v>
      </c>
      <c r="C2717" t="s">
        <v>63</v>
      </c>
    </row>
    <row r="2718" spans="1:3" x14ac:dyDescent="0.25">
      <c r="A2718" t="str">
        <f>"370005217"</f>
        <v>370005217</v>
      </c>
      <c r="B2718" t="str">
        <f>"EHPAD MANOIR DU VERGER"</f>
        <v>EHPAD MANOIR DU VERGER</v>
      </c>
      <c r="C2718" t="s">
        <v>63</v>
      </c>
    </row>
    <row r="2719" spans="1:3" x14ac:dyDescent="0.25">
      <c r="A2719" t="str">
        <f>"370005258"</f>
        <v>370005258</v>
      </c>
      <c r="B2719" t="str">
        <f>"EHPAD BOIS SOLEIL"</f>
        <v>EHPAD BOIS SOLEIL</v>
      </c>
      <c r="C2719" t="s">
        <v>63</v>
      </c>
    </row>
    <row r="2720" spans="1:3" x14ac:dyDescent="0.25">
      <c r="A2720" t="str">
        <f>"370005498"</f>
        <v>370005498</v>
      </c>
      <c r="B2720" t="str">
        <f>"RELAIS SEPIA DU LATHAN"</f>
        <v>RELAIS SEPIA DU LATHAN</v>
      </c>
      <c r="C2720" t="s">
        <v>63</v>
      </c>
    </row>
    <row r="2721" spans="1:3" x14ac:dyDescent="0.25">
      <c r="A2721" t="str">
        <f>"370008419"</f>
        <v>370008419</v>
      </c>
      <c r="B2721" t="str">
        <f>"EHPAD MONCONSEIL"</f>
        <v>EHPAD MONCONSEIL</v>
      </c>
      <c r="C2721" t="s">
        <v>63</v>
      </c>
    </row>
    <row r="2722" spans="1:3" x14ac:dyDescent="0.25">
      <c r="A2722" t="str">
        <f>"370008468"</f>
        <v>370008468</v>
      </c>
      <c r="B2722" t="str">
        <f>"EHPAD LA RESIDENCE DU PARC"</f>
        <v>EHPAD LA RESIDENCE DU PARC</v>
      </c>
      <c r="C2722" t="s">
        <v>63</v>
      </c>
    </row>
    <row r="2723" spans="1:3" x14ac:dyDescent="0.25">
      <c r="A2723" t="str">
        <f>"370009789"</f>
        <v>370009789</v>
      </c>
      <c r="B2723" t="str">
        <f>"EHPAD KORIAN LES DAMES BLANCHES"</f>
        <v>EHPAD KORIAN LES DAMES BLANCHES</v>
      </c>
      <c r="C2723" t="s">
        <v>63</v>
      </c>
    </row>
    <row r="2724" spans="1:3" x14ac:dyDescent="0.25">
      <c r="A2724" t="str">
        <f>"370009839"</f>
        <v>370009839</v>
      </c>
      <c r="B2724" t="str">
        <f>"EHPAD KORIAN CLOS DU MURIER"</f>
        <v>EHPAD KORIAN CLOS DU MURIER</v>
      </c>
      <c r="C2724" t="s">
        <v>63</v>
      </c>
    </row>
    <row r="2725" spans="1:3" x14ac:dyDescent="0.25">
      <c r="A2725" t="str">
        <f>"370009888"</f>
        <v>370009888</v>
      </c>
      <c r="B2725" t="str">
        <f>"EHPAD LES JARDINS D IROISE D OE"</f>
        <v>EHPAD LES JARDINS D IROISE D OE</v>
      </c>
      <c r="C2725" t="s">
        <v>63</v>
      </c>
    </row>
    <row r="2726" spans="1:3" x14ac:dyDescent="0.25">
      <c r="A2726" t="str">
        <f>"370010498"</f>
        <v>370010498</v>
      </c>
      <c r="B2726" t="str">
        <f>"EHPAD LA VILLA ELEONORE"</f>
        <v>EHPAD LA VILLA ELEONORE</v>
      </c>
      <c r="C2726" t="s">
        <v>63</v>
      </c>
    </row>
    <row r="2727" spans="1:3" x14ac:dyDescent="0.25">
      <c r="A2727" t="str">
        <f>"370011348"</f>
        <v>370011348</v>
      </c>
      <c r="B2727" t="str">
        <f>"EHPAD HENRY DUNANT"</f>
        <v>EHPAD HENRY DUNANT</v>
      </c>
      <c r="C2727" t="s">
        <v>63</v>
      </c>
    </row>
    <row r="2728" spans="1:3" x14ac:dyDescent="0.25">
      <c r="A2728" t="str">
        <f>"370011512"</f>
        <v>370011512</v>
      </c>
      <c r="B2728" t="str">
        <f>"RESID HEB TEMP SEPIA DESCARTES"</f>
        <v>RESID HEB TEMP SEPIA DESCARTES</v>
      </c>
      <c r="C2728" t="s">
        <v>63</v>
      </c>
    </row>
    <row r="2729" spans="1:3" x14ac:dyDescent="0.25">
      <c r="A2729" t="str">
        <f>"370011553"</f>
        <v>370011553</v>
      </c>
      <c r="B2729" t="str">
        <f>"EHPAD LES JARDINS DU LYS"</f>
        <v>EHPAD LES JARDINS DU LYS</v>
      </c>
      <c r="C2729" t="s">
        <v>63</v>
      </c>
    </row>
    <row r="2730" spans="1:3" x14ac:dyDescent="0.25">
      <c r="A2730" t="str">
        <f>"370013823"</f>
        <v>370013823</v>
      </c>
      <c r="B2730" t="str">
        <f>"EHPAD LA GRANDE BRETECHE"</f>
        <v>EHPAD LA GRANDE BRETECHE</v>
      </c>
      <c r="C2730" t="s">
        <v>63</v>
      </c>
    </row>
    <row r="2731" spans="1:3" x14ac:dyDescent="0.25">
      <c r="A2731" t="str">
        <f>"370100166"</f>
        <v>370100166</v>
      </c>
      <c r="B2731" t="str">
        <f>"EHPAD A PARE CH AMB CHATEAURENAULT"</f>
        <v>EHPAD A PARE CH AMB CHATEAURENAULT</v>
      </c>
      <c r="C2731" t="s">
        <v>63</v>
      </c>
    </row>
    <row r="2732" spans="1:3" x14ac:dyDescent="0.25">
      <c r="A2732" t="str">
        <f>"370100497"</f>
        <v>370100497</v>
      </c>
      <c r="B2732" t="str">
        <f>"EHPAD LA CHESNAYE"</f>
        <v>EHPAD LA CHESNAYE</v>
      </c>
      <c r="C2732" t="s">
        <v>63</v>
      </c>
    </row>
    <row r="2733" spans="1:3" x14ac:dyDescent="0.25">
      <c r="A2733" t="str">
        <f>"370100513"</f>
        <v>370100513</v>
      </c>
      <c r="B2733" t="str">
        <f>"EHPAD LES BARAQUINS"</f>
        <v>EHPAD LES BARAQUINS</v>
      </c>
      <c r="C2733" t="s">
        <v>63</v>
      </c>
    </row>
    <row r="2734" spans="1:3" x14ac:dyDescent="0.25">
      <c r="A2734" t="str">
        <f>"370101347"</f>
        <v>370101347</v>
      </c>
      <c r="B2734" t="str">
        <f>"EHPAD LA CHATAIGNERAIE"</f>
        <v>EHPAD LA CHATAIGNERAIE</v>
      </c>
      <c r="C2734" t="s">
        <v>63</v>
      </c>
    </row>
    <row r="2735" spans="1:3" x14ac:dyDescent="0.25">
      <c r="A2735" t="str">
        <f>"370101362"</f>
        <v>370101362</v>
      </c>
      <c r="B2735" t="str">
        <f>"EHPAD ANDRE GEORGES VOISIN"</f>
        <v>EHPAD ANDRE GEORGES VOISIN</v>
      </c>
      <c r="C2735" t="s">
        <v>63</v>
      </c>
    </row>
    <row r="2736" spans="1:3" x14ac:dyDescent="0.25">
      <c r="A2736" t="str">
        <f>"370102493"</f>
        <v>370102493</v>
      </c>
      <c r="B2736" t="str">
        <f>"EHPAD RESIDENCE CHOISEUL"</f>
        <v>EHPAD RESIDENCE CHOISEUL</v>
      </c>
      <c r="C2736" t="s">
        <v>63</v>
      </c>
    </row>
    <row r="2737" spans="1:3" x14ac:dyDescent="0.25">
      <c r="A2737" t="str">
        <f>"370103004"</f>
        <v>370103004</v>
      </c>
      <c r="B2737" t="str">
        <f>"EHPAD KORIAN CHAMTOU"</f>
        <v>EHPAD KORIAN CHAMTOU</v>
      </c>
      <c r="C2737" t="s">
        <v>63</v>
      </c>
    </row>
    <row r="2738" spans="1:3" x14ac:dyDescent="0.25">
      <c r="A2738" t="str">
        <f>"370103012"</f>
        <v>370103012</v>
      </c>
      <c r="B2738" t="str">
        <f>"EHPAD KORIAN LA MENARDIERE"</f>
        <v>EHPAD KORIAN LA MENARDIERE</v>
      </c>
      <c r="C2738" t="s">
        <v>63</v>
      </c>
    </row>
    <row r="2739" spans="1:3" x14ac:dyDescent="0.25">
      <c r="A2739" t="str">
        <f>"370103160"</f>
        <v>370103160</v>
      </c>
      <c r="B2739" t="str">
        <f>"EHPAD RESIDENCE CHOISILLE"</f>
        <v>EHPAD RESIDENCE CHOISILLE</v>
      </c>
      <c r="C2739" t="s">
        <v>63</v>
      </c>
    </row>
    <row r="2740" spans="1:3" x14ac:dyDescent="0.25">
      <c r="A2740" t="str">
        <f>"370103350"</f>
        <v>370103350</v>
      </c>
      <c r="B2740" t="str">
        <f>"EHPAD LA CROIX PAPILLON"</f>
        <v>EHPAD LA CROIX PAPILLON</v>
      </c>
      <c r="C2740" t="s">
        <v>63</v>
      </c>
    </row>
    <row r="2741" spans="1:3" x14ac:dyDescent="0.25">
      <c r="A2741" t="str">
        <f>"370103368"</f>
        <v>370103368</v>
      </c>
      <c r="B2741" t="str">
        <f>"EHPAD VALLEE DU CHER"</f>
        <v>EHPAD VALLEE DU CHER</v>
      </c>
      <c r="C2741" t="s">
        <v>63</v>
      </c>
    </row>
    <row r="2742" spans="1:3" x14ac:dyDescent="0.25">
      <c r="A2742" t="str">
        <f>"370103384"</f>
        <v>370103384</v>
      </c>
      <c r="B2742" t="str">
        <f>"EHPAD LE CLOS DU PARC"</f>
        <v>EHPAD LE CLOS DU PARC</v>
      </c>
      <c r="C2742" t="s">
        <v>63</v>
      </c>
    </row>
    <row r="2743" spans="1:3" x14ac:dyDescent="0.25">
      <c r="A2743" t="str">
        <f>"370103400"</f>
        <v>370103400</v>
      </c>
      <c r="B2743" t="str">
        <f>"EHPAD JEANNE DE RUZE"</f>
        <v>EHPAD JEANNE DE RUZE</v>
      </c>
      <c r="C2743" t="s">
        <v>63</v>
      </c>
    </row>
    <row r="2744" spans="1:3" x14ac:dyDescent="0.25">
      <c r="A2744" t="str">
        <f>"370103681"</f>
        <v>370103681</v>
      </c>
      <c r="B2744" t="str">
        <f>"EHPAD KORIAN LE PETIT CASTEL"</f>
        <v>EHPAD KORIAN LE PETIT CASTEL</v>
      </c>
      <c r="C2744" t="s">
        <v>63</v>
      </c>
    </row>
    <row r="2745" spans="1:3" x14ac:dyDescent="0.25">
      <c r="A2745" t="str">
        <f>"370104085"</f>
        <v>370104085</v>
      </c>
      <c r="B2745" t="str">
        <f>"EHPAD RESIDENCE DU LYS"</f>
        <v>EHPAD RESIDENCE DU LYS</v>
      </c>
      <c r="C2745" t="s">
        <v>63</v>
      </c>
    </row>
    <row r="2746" spans="1:3" x14ac:dyDescent="0.25">
      <c r="A2746" t="str">
        <f>"370104598"</f>
        <v>370104598</v>
      </c>
      <c r="B2746" t="str">
        <f>"EHPAD KORIAN LES AMARANTES"</f>
        <v>EHPAD KORIAN LES AMARANTES</v>
      </c>
      <c r="C2746" t="s">
        <v>63</v>
      </c>
    </row>
    <row r="2747" spans="1:3" x14ac:dyDescent="0.25">
      <c r="A2747" t="str">
        <f>"370104606"</f>
        <v>370104606</v>
      </c>
      <c r="B2747" t="str">
        <f>"EHPAD LES TROIS RIVIERES"</f>
        <v>EHPAD LES TROIS RIVIERES</v>
      </c>
      <c r="C2747" t="s">
        <v>63</v>
      </c>
    </row>
    <row r="2748" spans="1:3" x14ac:dyDescent="0.25">
      <c r="A2748" t="str">
        <f>"370104713"</f>
        <v>370104713</v>
      </c>
      <c r="B2748" t="str">
        <f>"EHPAD DE BEAUNE"</f>
        <v>EHPAD DE BEAUNE</v>
      </c>
      <c r="C2748" t="s">
        <v>63</v>
      </c>
    </row>
    <row r="2749" spans="1:3" x14ac:dyDescent="0.25">
      <c r="A2749" t="str">
        <f>"370104770"</f>
        <v>370104770</v>
      </c>
      <c r="B2749" t="str">
        <f>"EHPAD KORIAN LE PLESSIS"</f>
        <v>EHPAD KORIAN LE PLESSIS</v>
      </c>
      <c r="C2749" t="s">
        <v>63</v>
      </c>
    </row>
    <row r="2750" spans="1:3" x14ac:dyDescent="0.25">
      <c r="A2750" t="str">
        <f>"370104887"</f>
        <v>370104887</v>
      </c>
      <c r="B2750" t="str">
        <f>"EHPAD VARENNES DE LOIRE"</f>
        <v>EHPAD VARENNES DE LOIRE</v>
      </c>
      <c r="C2750" t="s">
        <v>63</v>
      </c>
    </row>
    <row r="2751" spans="1:3" x14ac:dyDescent="0.25">
      <c r="A2751" t="str">
        <f>"370104911"</f>
        <v>370104911</v>
      </c>
      <c r="B2751" t="str">
        <f>"EHPAD LE CLOS SAINT VINCENT"</f>
        <v>EHPAD LE CLOS SAINT VINCENT</v>
      </c>
      <c r="C2751" t="s">
        <v>63</v>
      </c>
    </row>
    <row r="2752" spans="1:3" x14ac:dyDescent="0.25">
      <c r="A2752" t="str">
        <f>"370104994"</f>
        <v>370104994</v>
      </c>
      <c r="B2752" t="str">
        <f>"EHPAD LA CROIX ST PAUL"</f>
        <v>EHPAD LA CROIX ST PAUL</v>
      </c>
      <c r="C2752" t="s">
        <v>63</v>
      </c>
    </row>
    <row r="2753" spans="1:3" x14ac:dyDescent="0.25">
      <c r="A2753" t="str">
        <f>"380000547"</f>
        <v>380000547</v>
      </c>
      <c r="B2753" t="str">
        <f>"PUV LA TOUVIERE"</f>
        <v>PUV LA TOUVIERE</v>
      </c>
      <c r="C2753" t="s">
        <v>61</v>
      </c>
    </row>
    <row r="2754" spans="1:3" x14ac:dyDescent="0.25">
      <c r="A2754" t="str">
        <f>"380002998"</f>
        <v>380002998</v>
      </c>
      <c r="B2754" t="str">
        <f>"EHPAD INTERCOMMUNAL DE MENS"</f>
        <v>EHPAD INTERCOMMUNAL DE MENS</v>
      </c>
      <c r="C2754" t="s">
        <v>61</v>
      </c>
    </row>
    <row r="2755" spans="1:3" x14ac:dyDescent="0.25">
      <c r="A2755" t="str">
        <f>"380005579"</f>
        <v>380005579</v>
      </c>
      <c r="B2755" t="str">
        <f>"EHPAD VIGNY MUSSET"</f>
        <v>EHPAD VIGNY MUSSET</v>
      </c>
      <c r="C2755" t="s">
        <v>61</v>
      </c>
    </row>
    <row r="2756" spans="1:3" x14ac:dyDescent="0.25">
      <c r="A2756" t="str">
        <f>"380005819"</f>
        <v>380005819</v>
      </c>
      <c r="B2756" t="str">
        <f>"EHPAD LES VERGERS"</f>
        <v>EHPAD LES VERGERS</v>
      </c>
      <c r="C2756" t="s">
        <v>61</v>
      </c>
    </row>
    <row r="2757" spans="1:3" x14ac:dyDescent="0.25">
      <c r="A2757" t="str">
        <f>"380007989"</f>
        <v>380007989</v>
      </c>
      <c r="B2757" t="str">
        <f>"RESIDENCE LES OMBRAGES"</f>
        <v>RESIDENCE LES OMBRAGES</v>
      </c>
      <c r="C2757" t="s">
        <v>61</v>
      </c>
    </row>
    <row r="2758" spans="1:3" x14ac:dyDescent="0.25">
      <c r="A2758" t="str">
        <f>"380010058"</f>
        <v>380010058</v>
      </c>
      <c r="B2758" t="str">
        <f>"EHPAD  HANDICAPES MENTAUX BOIS BALLIER"</f>
        <v>EHPAD  HANDICAPES MENTAUX BOIS BALLIER</v>
      </c>
      <c r="C2758" t="s">
        <v>61</v>
      </c>
    </row>
    <row r="2759" spans="1:3" x14ac:dyDescent="0.25">
      <c r="A2759" t="str">
        <f>"380010728"</f>
        <v>380010728</v>
      </c>
      <c r="B2759" t="str">
        <f>"EHPAD L'ARGENTIERE"</f>
        <v>EHPAD L'ARGENTIERE</v>
      </c>
      <c r="C2759" t="s">
        <v>61</v>
      </c>
    </row>
    <row r="2760" spans="1:3" x14ac:dyDescent="0.25">
      <c r="A2760" t="str">
        <f>"380010769"</f>
        <v>380010769</v>
      </c>
      <c r="B2760" t="str">
        <f>"EHPAD LES PORTES DU VERCORS"</f>
        <v>EHPAD LES PORTES DU VERCORS</v>
      </c>
      <c r="C2760" t="s">
        <v>61</v>
      </c>
    </row>
    <row r="2761" spans="1:3" x14ac:dyDescent="0.25">
      <c r="A2761" t="str">
        <f>"380010959"</f>
        <v>380010959</v>
      </c>
      <c r="B2761" t="str">
        <f>"EHPAD DE L'HOPITAL LOCAL DE TULLINS"</f>
        <v>EHPAD DE L'HOPITAL LOCAL DE TULLINS</v>
      </c>
      <c r="C2761" t="s">
        <v>61</v>
      </c>
    </row>
    <row r="2762" spans="1:3" x14ac:dyDescent="0.25">
      <c r="A2762" t="str">
        <f>"380011049"</f>
        <v>380011049</v>
      </c>
      <c r="B2762" t="str">
        <f>"MDR EHPAD M. PHILIBERT DE L'UDMI"</f>
        <v>MDR EHPAD M. PHILIBERT DE L'UDMI</v>
      </c>
      <c r="C2762" t="s">
        <v>61</v>
      </c>
    </row>
    <row r="2763" spans="1:3" x14ac:dyDescent="0.25">
      <c r="A2763" t="str">
        <f>"380011098"</f>
        <v>380011098</v>
      </c>
      <c r="B2763" t="str">
        <f>"EHPAD DELPHINE NEYRET"</f>
        <v>EHPAD DELPHINE NEYRET</v>
      </c>
      <c r="C2763" t="s">
        <v>61</v>
      </c>
    </row>
    <row r="2764" spans="1:3" x14ac:dyDescent="0.25">
      <c r="A2764" t="str">
        <f>"380011148"</f>
        <v>380011148</v>
      </c>
      <c r="B2764" t="str">
        <f>"EHPAD LE PERTUIS CHG ST LAURENT"</f>
        <v>EHPAD LE PERTUIS CHG ST LAURENT</v>
      </c>
      <c r="C2764" t="s">
        <v>61</v>
      </c>
    </row>
    <row r="2765" spans="1:3" x14ac:dyDescent="0.25">
      <c r="A2765" t="str">
        <f>"380011429"</f>
        <v>380011429</v>
      </c>
      <c r="B2765" t="str">
        <f>"EHPAD JEAN MOULIN"</f>
        <v>EHPAD JEAN MOULIN</v>
      </c>
      <c r="C2765" t="s">
        <v>61</v>
      </c>
    </row>
    <row r="2766" spans="1:3" x14ac:dyDescent="0.25">
      <c r="A2766" t="str">
        <f>"380011569"</f>
        <v>380011569</v>
      </c>
      <c r="B2766" t="str">
        <f>"EHPAD LES JARDINS MEDICIS"</f>
        <v>EHPAD LES JARDINS MEDICIS</v>
      </c>
      <c r="C2766" t="s">
        <v>61</v>
      </c>
    </row>
    <row r="2767" spans="1:3" x14ac:dyDescent="0.25">
      <c r="A2767" t="str">
        <f>"380012708"</f>
        <v>380012708</v>
      </c>
      <c r="B2767" t="str">
        <f>"EHPAD BOIS D'ARTAS"</f>
        <v>EHPAD BOIS D'ARTAS</v>
      </c>
      <c r="C2767" t="s">
        <v>61</v>
      </c>
    </row>
    <row r="2768" spans="1:3" x14ac:dyDescent="0.25">
      <c r="A2768" t="str">
        <f>"380012948"</f>
        <v>380012948</v>
      </c>
      <c r="B2768" t="str">
        <f>"EHPAD LE CHANT DU RAVINSON"</f>
        <v>EHPAD LE CHANT DU RAVINSON</v>
      </c>
      <c r="C2768" t="s">
        <v>61</v>
      </c>
    </row>
    <row r="2769" spans="1:3" x14ac:dyDescent="0.25">
      <c r="A2769" t="str">
        <f>"380013060"</f>
        <v>380013060</v>
      </c>
      <c r="B2769" t="str">
        <f>"EHPAD KORIAN L'ISLE VERTE"</f>
        <v>EHPAD KORIAN L'ISLE VERTE</v>
      </c>
      <c r="C2769" t="s">
        <v>61</v>
      </c>
    </row>
    <row r="2770" spans="1:3" x14ac:dyDescent="0.25">
      <c r="A2770" t="str">
        <f>"380013235"</f>
        <v>380013235</v>
      </c>
      <c r="B2770" t="str">
        <f>"EHPAD KORIAN VILLA ORTIS"</f>
        <v>EHPAD KORIAN VILLA ORTIS</v>
      </c>
      <c r="C2770" t="s">
        <v>61</v>
      </c>
    </row>
    <row r="2771" spans="1:3" x14ac:dyDescent="0.25">
      <c r="A2771" t="str">
        <f>"380013409"</f>
        <v>380013409</v>
      </c>
      <c r="B2771" t="str">
        <f>"EHPAD LES CASCADES"</f>
        <v>EHPAD LES CASCADES</v>
      </c>
      <c r="C2771" t="s">
        <v>61</v>
      </c>
    </row>
    <row r="2772" spans="1:3" x14ac:dyDescent="0.25">
      <c r="A2772" t="str">
        <f>"380013532"</f>
        <v>380013532</v>
      </c>
      <c r="B2772" t="str">
        <f>"EHPAD CLOS BESSON VIF"</f>
        <v>EHPAD CLOS BESSON VIF</v>
      </c>
      <c r="C2772" t="s">
        <v>61</v>
      </c>
    </row>
    <row r="2773" spans="1:3" x14ac:dyDescent="0.25">
      <c r="A2773" t="str">
        <f>"380013896"</f>
        <v>380013896</v>
      </c>
      <c r="B2773" t="str">
        <f>"EHPAD CHAMPS FLEURI ECHIROLLES"</f>
        <v>EHPAD CHAMPS FLEURI ECHIROLLES</v>
      </c>
      <c r="C2773" t="s">
        <v>61</v>
      </c>
    </row>
    <row r="2774" spans="1:3" x14ac:dyDescent="0.25">
      <c r="A2774" t="str">
        <f>"380015438"</f>
        <v>380015438</v>
      </c>
      <c r="B2774" t="str">
        <f>"EHPAD LES ORCHIDEES SEYSSINS"</f>
        <v>EHPAD LES ORCHIDEES SEYSSINS</v>
      </c>
      <c r="C2774" t="s">
        <v>61</v>
      </c>
    </row>
    <row r="2775" spans="1:3" x14ac:dyDescent="0.25">
      <c r="A2775" t="str">
        <f>"380015586"</f>
        <v>380015586</v>
      </c>
      <c r="B2775" t="str">
        <f>"RESIDENCE LES CHANTOURNES"</f>
        <v>RESIDENCE LES CHANTOURNES</v>
      </c>
      <c r="C2775" t="s">
        <v>61</v>
      </c>
    </row>
    <row r="2776" spans="1:3" x14ac:dyDescent="0.25">
      <c r="A2776" t="str">
        <f>"380015594"</f>
        <v>380015594</v>
      </c>
      <c r="B2776" t="str">
        <f>"EHPAD PIQUE-PIERRE ST MARTIN LE VINOUX"</f>
        <v>EHPAD PIQUE-PIERRE ST MARTIN LE VINOUX</v>
      </c>
      <c r="C2776" t="s">
        <v>61</v>
      </c>
    </row>
    <row r="2777" spans="1:3" x14ac:dyDescent="0.25">
      <c r="A2777" t="str">
        <f>"380016311"</f>
        <v>380016311</v>
      </c>
      <c r="B2777" t="str">
        <f>"EHPAD CLAUDETTE CHESNE"</f>
        <v>EHPAD CLAUDETTE CHESNE</v>
      </c>
      <c r="C2777" t="s">
        <v>61</v>
      </c>
    </row>
    <row r="2778" spans="1:3" x14ac:dyDescent="0.25">
      <c r="A2778" t="str">
        <f>"380017491"</f>
        <v>380017491</v>
      </c>
      <c r="B2778" t="str">
        <f>"EHPAD DU PARC - CH DE RIVES"</f>
        <v>EHPAD DU PARC - CH DE RIVES</v>
      </c>
      <c r="C2778" t="s">
        <v>61</v>
      </c>
    </row>
    <row r="2779" spans="1:3" x14ac:dyDescent="0.25">
      <c r="A2779" t="str">
        <f>"380017855"</f>
        <v>380017855</v>
      </c>
      <c r="B2779" t="str">
        <f>"EHPAD LE GRANIER PONTCHARRA"</f>
        <v>EHPAD LE GRANIER PONTCHARRA</v>
      </c>
      <c r="C2779" t="s">
        <v>61</v>
      </c>
    </row>
    <row r="2780" spans="1:3" x14ac:dyDescent="0.25">
      <c r="A2780" t="str">
        <f>"380019323"</f>
        <v>380019323</v>
      </c>
      <c r="B2780" t="str">
        <f>"EHPAD RESIDENCE LE PARC DOMENE"</f>
        <v>EHPAD RESIDENCE LE PARC DOMENE</v>
      </c>
      <c r="C2780" t="s">
        <v>61</v>
      </c>
    </row>
    <row r="2781" spans="1:3" x14ac:dyDescent="0.25">
      <c r="A2781" t="str">
        <f>"380019331"</f>
        <v>380019331</v>
      </c>
      <c r="B2781" t="str">
        <f>"EHPAD LES VOLUBILIS AOSTE"</f>
        <v>EHPAD LES VOLUBILIS AOSTE</v>
      </c>
      <c r="C2781" t="s">
        <v>61</v>
      </c>
    </row>
    <row r="2782" spans="1:3" x14ac:dyDescent="0.25">
      <c r="A2782" t="str">
        <f>"380019786"</f>
        <v>380019786</v>
      </c>
      <c r="B2782" t="str">
        <f>"EHPAD LES TERRASSES DU RHONE"</f>
        <v>EHPAD LES TERRASSES DU RHONE</v>
      </c>
      <c r="C2782" t="s">
        <v>61</v>
      </c>
    </row>
    <row r="2783" spans="1:3" x14ac:dyDescent="0.25">
      <c r="A2783" t="str">
        <f>"380019851"</f>
        <v>380019851</v>
      </c>
      <c r="B2783" t="str">
        <f>"EHPAD EDEN RESIDENCE"</f>
        <v>EHPAD EDEN RESIDENCE</v>
      </c>
      <c r="C2783" t="s">
        <v>61</v>
      </c>
    </row>
    <row r="2784" spans="1:3" x14ac:dyDescent="0.25">
      <c r="A2784" t="str">
        <f>"380021238"</f>
        <v>380021238</v>
      </c>
      <c r="B2784" t="str">
        <f>"EHPAD ANDRE LEO"</f>
        <v>EHPAD ANDRE LEO</v>
      </c>
      <c r="C2784" t="s">
        <v>61</v>
      </c>
    </row>
    <row r="2785" spans="1:3" x14ac:dyDescent="0.25">
      <c r="A2785" t="str">
        <f>"380781518"</f>
        <v>380781518</v>
      </c>
      <c r="B2785" t="str">
        <f>"EHPAD LA MAISON"</f>
        <v>EHPAD LA MAISON</v>
      </c>
      <c r="C2785" t="s">
        <v>61</v>
      </c>
    </row>
    <row r="2786" spans="1:3" x14ac:dyDescent="0.25">
      <c r="A2786" t="str">
        <f>"380781575"</f>
        <v>380781575</v>
      </c>
      <c r="B2786" t="str">
        <f>"EHPAD BELLEFONTAINE"</f>
        <v>EHPAD BELLEFONTAINE</v>
      </c>
      <c r="C2786" t="s">
        <v>61</v>
      </c>
    </row>
    <row r="2787" spans="1:3" x14ac:dyDescent="0.25">
      <c r="A2787" t="str">
        <f>"380781583"</f>
        <v>380781583</v>
      </c>
      <c r="B2787" t="str">
        <f>"EHPAD LE GRAND LEMPS"</f>
        <v>EHPAD LE GRAND LEMPS</v>
      </c>
      <c r="C2787" t="s">
        <v>61</v>
      </c>
    </row>
    <row r="2788" spans="1:3" x14ac:dyDescent="0.25">
      <c r="A2788" t="str">
        <f>"380781591"</f>
        <v>380781591</v>
      </c>
      <c r="B2788" t="str">
        <f>"EHPAD LES TILLEULS ENTRE-DEUX-GUIERS"</f>
        <v>EHPAD LES TILLEULS ENTRE-DEUX-GUIERS</v>
      </c>
      <c r="C2788" t="s">
        <v>61</v>
      </c>
    </row>
    <row r="2789" spans="1:3" x14ac:dyDescent="0.25">
      <c r="A2789" t="str">
        <f>"380781609"</f>
        <v>380781609</v>
      </c>
      <c r="B2789" t="str">
        <f>"EHPAD CHATEAU DE LA SERRA"</f>
        <v>EHPAD CHATEAU DE LA SERRA</v>
      </c>
      <c r="C2789" t="s">
        <v>61</v>
      </c>
    </row>
    <row r="2790" spans="1:3" x14ac:dyDescent="0.25">
      <c r="A2790" t="str">
        <f>"380781617"</f>
        <v>380781617</v>
      </c>
      <c r="B2790" t="str">
        <f>"EHPAD LES ABRETS"</f>
        <v>EHPAD LES ABRETS</v>
      </c>
      <c r="C2790" t="s">
        <v>61</v>
      </c>
    </row>
    <row r="2791" spans="1:3" x14ac:dyDescent="0.25">
      <c r="A2791" t="str">
        <f>"380781625"</f>
        <v>380781625</v>
      </c>
      <c r="B2791" t="str">
        <f>"EHPAD RESIDENCE ABEL MAURICE"</f>
        <v>EHPAD RESIDENCE ABEL MAURICE</v>
      </c>
      <c r="C2791" t="s">
        <v>61</v>
      </c>
    </row>
    <row r="2792" spans="1:3" x14ac:dyDescent="0.25">
      <c r="A2792" t="str">
        <f>"380781641"</f>
        <v>380781641</v>
      </c>
      <c r="B2792" t="str">
        <f>"EHPAD LES TOURNELLES - VIRIEU"</f>
        <v>EHPAD LES TOURNELLES - VIRIEU</v>
      </c>
      <c r="C2792" t="s">
        <v>61</v>
      </c>
    </row>
    <row r="2793" spans="1:3" x14ac:dyDescent="0.25">
      <c r="A2793" t="str">
        <f>"380781658"</f>
        <v>380781658</v>
      </c>
      <c r="B2793" t="str">
        <f>"EHPAD LA BARRE ST-JEAN-DE-BOURNAY"</f>
        <v>EHPAD LA BARRE ST-JEAN-DE-BOURNAY</v>
      </c>
      <c r="C2793" t="s">
        <v>61</v>
      </c>
    </row>
    <row r="2794" spans="1:3" x14ac:dyDescent="0.25">
      <c r="A2794" t="str">
        <f>"380781666"</f>
        <v>380781666</v>
      </c>
      <c r="B2794" t="str">
        <f>"EHPAD ST-CHEF"</f>
        <v>EHPAD ST-CHEF</v>
      </c>
      <c r="C2794" t="s">
        <v>61</v>
      </c>
    </row>
    <row r="2795" spans="1:3" x14ac:dyDescent="0.25">
      <c r="A2795" t="str">
        <f>"380781674"</f>
        <v>380781674</v>
      </c>
      <c r="B2795" t="str">
        <f>"EHPAD LES TERRASSES DE LA SURE"</f>
        <v>EHPAD LES TERRASSES DE LA SURE</v>
      </c>
      <c r="C2795" t="s">
        <v>61</v>
      </c>
    </row>
    <row r="2796" spans="1:3" x14ac:dyDescent="0.25">
      <c r="A2796" t="str">
        <f>"380781682"</f>
        <v>380781682</v>
      </c>
      <c r="B2796" t="str">
        <f>"EHPAD JEANNE DE CHANTAL CREMIEU"</f>
        <v>EHPAD JEANNE DE CHANTAL CREMIEU</v>
      </c>
      <c r="C2796" t="s">
        <v>61</v>
      </c>
    </row>
    <row r="2797" spans="1:3" x14ac:dyDescent="0.25">
      <c r="A2797" t="str">
        <f>"380782664"</f>
        <v>380782664</v>
      </c>
      <c r="B2797" t="str">
        <f>"EHPAD LES ECRINS"</f>
        <v>EHPAD LES ECRINS</v>
      </c>
      <c r="C2797" t="s">
        <v>61</v>
      </c>
    </row>
    <row r="2798" spans="1:3" x14ac:dyDescent="0.25">
      <c r="A2798" t="str">
        <f>"380782755"</f>
        <v>380782755</v>
      </c>
      <c r="B2798" t="str">
        <f>"EHPAD LES BALCONS DE MIRIBEL"</f>
        <v>EHPAD LES BALCONS DE MIRIBEL</v>
      </c>
      <c r="C2798" t="s">
        <v>61</v>
      </c>
    </row>
    <row r="2799" spans="1:3" x14ac:dyDescent="0.25">
      <c r="A2799" t="str">
        <f>"380784470"</f>
        <v>380784470</v>
      </c>
      <c r="B2799" t="str">
        <f>"EHPAD LA MAISON CH LA MURE"</f>
        <v>EHPAD LA MAISON CH LA MURE</v>
      </c>
      <c r="C2799" t="s">
        <v>61</v>
      </c>
    </row>
    <row r="2800" spans="1:3" x14ac:dyDescent="0.25">
      <c r="A2800" t="str">
        <f>"380784595"</f>
        <v>380784595</v>
      </c>
      <c r="B2800" t="str">
        <f>"EHPAD CGS UBAC - CHU38"</f>
        <v>EHPAD CGS UBAC - CHU38</v>
      </c>
      <c r="C2800" t="s">
        <v>61</v>
      </c>
    </row>
    <row r="2801" spans="1:3" x14ac:dyDescent="0.25">
      <c r="A2801" t="str">
        <f>"380784769"</f>
        <v>380784769</v>
      </c>
      <c r="B2801" t="str">
        <f>"EHPAD LES JARDINS DE COUBLEVIE - CHU38"</f>
        <v>EHPAD LES JARDINS DE COUBLEVIE - CHU38</v>
      </c>
      <c r="C2801" t="s">
        <v>61</v>
      </c>
    </row>
    <row r="2802" spans="1:3" x14ac:dyDescent="0.25">
      <c r="A2802" t="str">
        <f>"380784777"</f>
        <v>380784777</v>
      </c>
      <c r="B2802" t="str">
        <f>"EHPAD DE CHATTE - CHI VERCORS ISERE"</f>
        <v>EHPAD DE CHATTE - CHI VERCORS ISERE</v>
      </c>
      <c r="C2802" t="s">
        <v>61</v>
      </c>
    </row>
    <row r="2803" spans="1:3" x14ac:dyDescent="0.25">
      <c r="A2803" t="str">
        <f>"380784991"</f>
        <v>380784991</v>
      </c>
      <c r="B2803" t="str">
        <f>"EHPAD HOSTACHY CORPS"</f>
        <v>EHPAD HOSTACHY CORPS</v>
      </c>
      <c r="C2803" t="s">
        <v>61</v>
      </c>
    </row>
    <row r="2804" spans="1:3" x14ac:dyDescent="0.25">
      <c r="A2804" t="str">
        <f>"380785030"</f>
        <v>380785030</v>
      </c>
      <c r="B2804" t="str">
        <f>"EHPAD MARIE LOUISE RIGNY - CH DE RIVES"</f>
        <v>EHPAD MARIE LOUISE RIGNY - CH DE RIVES</v>
      </c>
      <c r="C2804" t="s">
        <v>61</v>
      </c>
    </row>
    <row r="2805" spans="1:3" x14ac:dyDescent="0.25">
      <c r="A2805" t="str">
        <f>"380785048"</f>
        <v>380785048</v>
      </c>
      <c r="B2805" t="str">
        <f>"EHPAD ABBAYE"</f>
        <v>EHPAD ABBAYE</v>
      </c>
      <c r="C2805" t="s">
        <v>61</v>
      </c>
    </row>
    <row r="2806" spans="1:3" x14ac:dyDescent="0.25">
      <c r="A2806" t="str">
        <f>"380785055"</f>
        <v>380785055</v>
      </c>
      <c r="B2806" t="str">
        <f>"EHPAD DE SEREZIN"</f>
        <v>EHPAD DE SEREZIN</v>
      </c>
      <c r="C2806" t="s">
        <v>61</v>
      </c>
    </row>
    <row r="2807" spans="1:3" x14ac:dyDescent="0.25">
      <c r="A2807" t="str">
        <f>"380785063"</f>
        <v>380785063</v>
      </c>
      <c r="B2807" t="str">
        <f>"EHPAD BON RENCONTRE"</f>
        <v>EHPAD BON RENCONTRE</v>
      </c>
      <c r="C2807" t="s">
        <v>61</v>
      </c>
    </row>
    <row r="2808" spans="1:3" x14ac:dyDescent="0.25">
      <c r="A2808" t="str">
        <f>"380785071"</f>
        <v>380785071</v>
      </c>
      <c r="B2808" t="str">
        <f>"EHPAD SEVIGNE"</f>
        <v>EHPAD SEVIGNE</v>
      </c>
      <c r="C2808" t="s">
        <v>61</v>
      </c>
    </row>
    <row r="2809" spans="1:3" x14ac:dyDescent="0.25">
      <c r="A2809" t="str">
        <f>"380785097"</f>
        <v>380785097</v>
      </c>
      <c r="B2809" t="str">
        <f>"EHPAD LES SOLAMBRES"</f>
        <v>EHPAD LES SOLAMBRES</v>
      </c>
      <c r="C2809" t="s">
        <v>61</v>
      </c>
    </row>
    <row r="2810" spans="1:3" x14ac:dyDescent="0.25">
      <c r="A2810" t="str">
        <f>"380785113"</f>
        <v>380785113</v>
      </c>
      <c r="B2810" t="str">
        <f>"EHPAD LE BON PASTEUR"</f>
        <v>EHPAD LE BON PASTEUR</v>
      </c>
      <c r="C2810" t="s">
        <v>61</v>
      </c>
    </row>
    <row r="2811" spans="1:3" x14ac:dyDescent="0.25">
      <c r="A2811" t="str">
        <f>"380785121"</f>
        <v>380785121</v>
      </c>
      <c r="B2811" t="str">
        <f>"EHPAD ND DES ROCHES"</f>
        <v>EHPAD ND DES ROCHES</v>
      </c>
      <c r="C2811" t="s">
        <v>61</v>
      </c>
    </row>
    <row r="2812" spans="1:3" x14ac:dyDescent="0.25">
      <c r="A2812" t="str">
        <f>"380785139"</f>
        <v>380785139</v>
      </c>
      <c r="B2812" t="str">
        <f>"EHPAD LE COUVENT"</f>
        <v>EHPAD LE COUVENT</v>
      </c>
      <c r="C2812" t="s">
        <v>61</v>
      </c>
    </row>
    <row r="2813" spans="1:3" x14ac:dyDescent="0.25">
      <c r="A2813" t="str">
        <f>"380785147"</f>
        <v>380785147</v>
      </c>
      <c r="B2813" t="str">
        <f>"EHPAD VICTOR HUGO VIENNE"</f>
        <v>EHPAD VICTOR HUGO VIENNE</v>
      </c>
      <c r="C2813" t="s">
        <v>61</v>
      </c>
    </row>
    <row r="2814" spans="1:3" x14ac:dyDescent="0.25">
      <c r="A2814" t="str">
        <f>"380785154"</f>
        <v>380785154</v>
      </c>
      <c r="B2814" t="str">
        <f>"EHPAD NOTRE-DAME-DE-L'ISLE V"</f>
        <v>EHPAD NOTRE-DAME-DE-L'ISLE V</v>
      </c>
      <c r="C2814" t="s">
        <v>61</v>
      </c>
    </row>
    <row r="2815" spans="1:3" x14ac:dyDescent="0.25">
      <c r="A2815" t="str">
        <f>"380785220"</f>
        <v>380785220</v>
      </c>
      <c r="B2815" t="str">
        <f>"EHPAD MA MAISON"</f>
        <v>EHPAD MA MAISON</v>
      </c>
      <c r="C2815" t="s">
        <v>61</v>
      </c>
    </row>
    <row r="2816" spans="1:3" x14ac:dyDescent="0.25">
      <c r="A2816" t="str">
        <f>"380785238"</f>
        <v>380785238</v>
      </c>
      <c r="B2816" t="str">
        <f>"EHPAD LA PROVIDENCE"</f>
        <v>EHPAD LA PROVIDENCE</v>
      </c>
      <c r="C2816" t="s">
        <v>61</v>
      </c>
    </row>
    <row r="2817" spans="1:3" x14ac:dyDescent="0.25">
      <c r="A2817" t="str">
        <f>"380785253"</f>
        <v>380785253</v>
      </c>
      <c r="B2817" t="str">
        <f>"EHPAD ST-GERMAIN"</f>
        <v>EHPAD ST-GERMAIN</v>
      </c>
      <c r="C2817" t="s">
        <v>61</v>
      </c>
    </row>
    <row r="2818" spans="1:3" x14ac:dyDescent="0.25">
      <c r="A2818" t="str">
        <f>"380785378"</f>
        <v>380785378</v>
      </c>
      <c r="B2818" t="str">
        <f>"EHPAD MAISON DES ANCIENS"</f>
        <v>EHPAD MAISON DES ANCIENS</v>
      </c>
      <c r="C2818" t="s">
        <v>61</v>
      </c>
    </row>
    <row r="2819" spans="1:3" x14ac:dyDescent="0.25">
      <c r="A2819" t="str">
        <f>"380785568"</f>
        <v>380785568</v>
      </c>
      <c r="B2819" t="str">
        <f>"PETITE UNITE DE VIE"</f>
        <v>PETITE UNITE DE VIE</v>
      </c>
      <c r="C2819" t="s">
        <v>61</v>
      </c>
    </row>
    <row r="2820" spans="1:3" x14ac:dyDescent="0.25">
      <c r="A2820" t="str">
        <f>"380785618"</f>
        <v>380785618</v>
      </c>
      <c r="B2820" t="str">
        <f>"EHPAD LES CORALIES"</f>
        <v>EHPAD LES CORALIES</v>
      </c>
      <c r="C2820" t="s">
        <v>61</v>
      </c>
    </row>
    <row r="2821" spans="1:3" x14ac:dyDescent="0.25">
      <c r="A2821" t="str">
        <f>"380785816"</f>
        <v>380785816</v>
      </c>
      <c r="B2821" t="str">
        <f>"EHPAD LE GRAND CEDRE"</f>
        <v>EHPAD LE GRAND CEDRE</v>
      </c>
      <c r="C2821" t="s">
        <v>61</v>
      </c>
    </row>
    <row r="2822" spans="1:3" x14ac:dyDescent="0.25">
      <c r="A2822" t="str">
        <f>"380786533"</f>
        <v>380786533</v>
      </c>
      <c r="B2822" t="str">
        <f>"EHPAD LUCIE PELLAT MONTBONNOT"</f>
        <v>EHPAD LUCIE PELLAT MONTBONNOT</v>
      </c>
      <c r="C2822" t="s">
        <v>61</v>
      </c>
    </row>
    <row r="2823" spans="1:3" x14ac:dyDescent="0.25">
      <c r="A2823" t="str">
        <f>"380786590"</f>
        <v>380786590</v>
      </c>
      <c r="B2823" t="str">
        <f>"EHPAD SAINT-BRUNO GRENOBLE"</f>
        <v>EHPAD SAINT-BRUNO GRENOBLE</v>
      </c>
      <c r="C2823" t="s">
        <v>61</v>
      </c>
    </row>
    <row r="2824" spans="1:3" x14ac:dyDescent="0.25">
      <c r="A2824" t="str">
        <f>"380786988"</f>
        <v>380786988</v>
      </c>
      <c r="B2824" t="str">
        <f>"EHPAD LE BON ACCUEIL"</f>
        <v>EHPAD LE BON ACCUEIL</v>
      </c>
      <c r="C2824" t="s">
        <v>61</v>
      </c>
    </row>
    <row r="2825" spans="1:3" x14ac:dyDescent="0.25">
      <c r="A2825" t="str">
        <f>"380787671"</f>
        <v>380787671</v>
      </c>
      <c r="B2825" t="str">
        <f>"EHPAD RESIDENCE MUTUALISTE DU FONTANIL"</f>
        <v>EHPAD RESIDENCE MUTUALISTE DU FONTANIL</v>
      </c>
      <c r="C2825" t="s">
        <v>61</v>
      </c>
    </row>
    <row r="2826" spans="1:3" x14ac:dyDescent="0.25">
      <c r="A2826" t="str">
        <f>"380789958"</f>
        <v>380789958</v>
      </c>
      <c r="B2826" t="str">
        <f>"EHPAD VAL MARIE"</f>
        <v>EHPAD VAL MARIE</v>
      </c>
      <c r="C2826" t="s">
        <v>61</v>
      </c>
    </row>
    <row r="2827" spans="1:3" x14ac:dyDescent="0.25">
      <c r="A2827" t="str">
        <f>"380792119"</f>
        <v>380792119</v>
      </c>
      <c r="B2827" t="str">
        <f>"EHPAD L'EGLANTINE"</f>
        <v>EHPAD L'EGLANTINE</v>
      </c>
      <c r="C2827" t="s">
        <v>61</v>
      </c>
    </row>
    <row r="2828" spans="1:3" x14ac:dyDescent="0.25">
      <c r="A2828" t="str">
        <f>"380794545"</f>
        <v>380794545</v>
      </c>
      <c r="B2828" t="str">
        <f>"EHPAD DU CHI VERCORS ISERE"</f>
        <v>EHPAD DU CHI VERCORS ISERE</v>
      </c>
      <c r="C2828" t="s">
        <v>61</v>
      </c>
    </row>
    <row r="2829" spans="1:3" x14ac:dyDescent="0.25">
      <c r="A2829" t="str">
        <f>"380794586"</f>
        <v>380794586</v>
      </c>
      <c r="B2829" t="str">
        <f>"RESIDENCE BRUN FAULQUIER"</f>
        <v>RESIDENCE BRUN FAULQUIER</v>
      </c>
      <c r="C2829" t="s">
        <v>61</v>
      </c>
    </row>
    <row r="2830" spans="1:3" x14ac:dyDescent="0.25">
      <c r="A2830" t="str">
        <f>"380794594"</f>
        <v>380794594</v>
      </c>
      <c r="B2830" t="str">
        <f>"EHPAD DE L'HOP LOCAL DE LA TOUR DU PIN"</f>
        <v>EHPAD DE L'HOP LOCAL DE LA TOUR DU PIN</v>
      </c>
      <c r="C2830" t="s">
        <v>61</v>
      </c>
    </row>
    <row r="2831" spans="1:3" x14ac:dyDescent="0.25">
      <c r="A2831" t="str">
        <f>"380794610"</f>
        <v>380794610</v>
      </c>
      <c r="B2831" t="str">
        <f>"EHPAD RENE MARION"</f>
        <v>EHPAD RENE MARION</v>
      </c>
      <c r="C2831" t="s">
        <v>61</v>
      </c>
    </row>
    <row r="2832" spans="1:3" x14ac:dyDescent="0.25">
      <c r="A2832" t="str">
        <f>"380794644"</f>
        <v>380794644</v>
      </c>
      <c r="B2832" t="str">
        <f>"EHPAD LA MAISON DU LAC ST EGREVE"</f>
        <v>EHPAD LA MAISON DU LAC ST EGREVE</v>
      </c>
      <c r="C2832" t="s">
        <v>61</v>
      </c>
    </row>
    <row r="2833" spans="1:3" x14ac:dyDescent="0.25">
      <c r="A2833" t="str">
        <f>"380794685"</f>
        <v>380794685</v>
      </c>
      <c r="B2833" t="str">
        <f>"EHPAD CH ST-GEOIRE EN VALDAINE"</f>
        <v>EHPAD CH ST-GEOIRE EN VALDAINE</v>
      </c>
      <c r="C2833" t="s">
        <v>61</v>
      </c>
    </row>
    <row r="2834" spans="1:3" x14ac:dyDescent="0.25">
      <c r="A2834" t="str">
        <f>"380794727"</f>
        <v>380794727</v>
      </c>
      <c r="B2834" t="str">
        <f>"EHPAD HOP. LOCAL DE BEAUREPAIRE"</f>
        <v>EHPAD HOP. LOCAL DE BEAUREPAIRE</v>
      </c>
      <c r="C2834" t="s">
        <v>61</v>
      </c>
    </row>
    <row r="2835" spans="1:3" x14ac:dyDescent="0.25">
      <c r="A2835" t="str">
        <f>"380794743"</f>
        <v>380794743</v>
      </c>
      <c r="B2835" t="str">
        <f>"EHPAD LE THOMASSIN"</f>
        <v>EHPAD LE THOMASSIN</v>
      </c>
      <c r="C2835" t="s">
        <v>61</v>
      </c>
    </row>
    <row r="2836" spans="1:3" x14ac:dyDescent="0.25">
      <c r="A2836" t="str">
        <f>"380794925"</f>
        <v>380794925</v>
      </c>
      <c r="B2836" t="str">
        <f>"EHPAD DU CH LUCIEN HUSSEL"</f>
        <v>EHPAD DU CH LUCIEN HUSSEL</v>
      </c>
      <c r="C2836" t="s">
        <v>61</v>
      </c>
    </row>
    <row r="2837" spans="1:3" x14ac:dyDescent="0.25">
      <c r="A2837" t="str">
        <f>"380795468"</f>
        <v>380795468</v>
      </c>
      <c r="B2837" t="str">
        <f>"EHPAD JOLIOT CURIE PONT DE CLAIX"</f>
        <v>EHPAD JOLIOT CURIE PONT DE CLAIX</v>
      </c>
      <c r="C2837" t="s">
        <v>61</v>
      </c>
    </row>
    <row r="2838" spans="1:3" x14ac:dyDescent="0.25">
      <c r="A2838" t="str">
        <f>"380795864"</f>
        <v>380795864</v>
      </c>
      <c r="B2838" t="str">
        <f>"EHPAD REYNIES"</f>
        <v>EHPAD REYNIES</v>
      </c>
      <c r="C2838" t="s">
        <v>61</v>
      </c>
    </row>
    <row r="2839" spans="1:3" x14ac:dyDescent="0.25">
      <c r="A2839" t="str">
        <f>"380795872"</f>
        <v>380795872</v>
      </c>
      <c r="B2839" t="str">
        <f>"MDR EHPAD BEVIERE"</f>
        <v>MDR EHPAD BEVIERE</v>
      </c>
      <c r="C2839" t="s">
        <v>61</v>
      </c>
    </row>
    <row r="2840" spans="1:3" x14ac:dyDescent="0.25">
      <c r="A2840" t="str">
        <f>"380799478"</f>
        <v>380799478</v>
      </c>
      <c r="B2840" t="str">
        <f>"M.D.R. (EHPAD) MORESTEL"</f>
        <v>M.D.R. (EHPAD) MORESTEL</v>
      </c>
      <c r="C2840" t="s">
        <v>61</v>
      </c>
    </row>
    <row r="2841" spans="1:3" x14ac:dyDescent="0.25">
      <c r="A2841" t="str">
        <f>"380800839"</f>
        <v>380800839</v>
      </c>
      <c r="B2841" t="str">
        <f>"RESIDENCE LA RAMEE ALLEVARD"</f>
        <v>RESIDENCE LA RAMEE ALLEVARD</v>
      </c>
      <c r="C2841" t="s">
        <v>61</v>
      </c>
    </row>
    <row r="2842" spans="1:3" x14ac:dyDescent="0.25">
      <c r="A2842" t="str">
        <f>"380800847"</f>
        <v>380800847</v>
      </c>
      <c r="B2842" t="str">
        <f>"MAISON CANTONALE DE PA DE MEYLAN"</f>
        <v>MAISON CANTONALE DE PA DE MEYLAN</v>
      </c>
      <c r="C2842" t="s">
        <v>61</v>
      </c>
    </row>
    <row r="2843" spans="1:3" x14ac:dyDescent="0.25">
      <c r="A2843" t="str">
        <f>"380802561"</f>
        <v>380802561</v>
      </c>
      <c r="B2843" t="str">
        <f>"EHPAD LES EDELWEISS"</f>
        <v>EHPAD LES EDELWEISS</v>
      </c>
      <c r="C2843" t="s">
        <v>61</v>
      </c>
    </row>
    <row r="2844" spans="1:3" x14ac:dyDescent="0.25">
      <c r="A2844" t="str">
        <f>"380802595"</f>
        <v>380802595</v>
      </c>
      <c r="B2844" t="str">
        <f>"EHPAD BELLE VALLEE FROGES"</f>
        <v>EHPAD BELLE VALLEE FROGES</v>
      </c>
      <c r="C2844" t="s">
        <v>61</v>
      </c>
    </row>
    <row r="2845" spans="1:3" x14ac:dyDescent="0.25">
      <c r="A2845" t="str">
        <f>"380802611"</f>
        <v>380802611</v>
      </c>
      <c r="B2845" t="str">
        <f>"MARPA LA REVOLA"</f>
        <v>MARPA LA REVOLA</v>
      </c>
      <c r="C2845" t="s">
        <v>61</v>
      </c>
    </row>
    <row r="2846" spans="1:3" x14ac:dyDescent="0.25">
      <c r="A2846" t="str">
        <f>"380802637"</f>
        <v>380802637</v>
      </c>
      <c r="B2846" t="str">
        <f>"PETITE UNITE DE VIE LA RICANDELLE"</f>
        <v>PETITE UNITE DE VIE LA RICANDELLE</v>
      </c>
      <c r="C2846" t="s">
        <v>61</v>
      </c>
    </row>
    <row r="2847" spans="1:3" x14ac:dyDescent="0.25">
      <c r="A2847" t="str">
        <f>"380802736"</f>
        <v>380802736</v>
      </c>
      <c r="B2847" t="str">
        <f>"EHPAD LES COLOMBES HEYRIEUX"</f>
        <v>EHPAD LES COLOMBES HEYRIEUX</v>
      </c>
      <c r="C2847" t="s">
        <v>61</v>
      </c>
    </row>
    <row r="2848" spans="1:3" x14ac:dyDescent="0.25">
      <c r="A2848" t="str">
        <f>"380803130"</f>
        <v>380803130</v>
      </c>
      <c r="B2848" t="str">
        <f>"EHPAD LA FOLATIERE"</f>
        <v>EHPAD LA FOLATIERE</v>
      </c>
      <c r="C2848" t="s">
        <v>61</v>
      </c>
    </row>
    <row r="2849" spans="1:3" x14ac:dyDescent="0.25">
      <c r="A2849" t="str">
        <f>"380803148"</f>
        <v>380803148</v>
      </c>
      <c r="B2849" t="str">
        <f>"EHPAD LES PIVOLES LA VERPILLIERE"</f>
        <v>EHPAD LES PIVOLES LA VERPILLIERE</v>
      </c>
      <c r="C2849" t="s">
        <v>61</v>
      </c>
    </row>
    <row r="2850" spans="1:3" x14ac:dyDescent="0.25">
      <c r="A2850" t="str">
        <f>"380803270"</f>
        <v>380803270</v>
      </c>
      <c r="B2850" t="str">
        <f>"EHPAD L'ISLE AUX FLEURS"</f>
        <v>EHPAD L'ISLE AUX FLEURS</v>
      </c>
      <c r="C2850" t="s">
        <v>61</v>
      </c>
    </row>
    <row r="2851" spans="1:3" x14ac:dyDescent="0.25">
      <c r="A2851" t="str">
        <f>"380803312"</f>
        <v>380803312</v>
      </c>
      <c r="B2851" t="str">
        <f>"EHPAD L'AGE D'OR MONESTIER"</f>
        <v>EHPAD L'AGE D'OR MONESTIER</v>
      </c>
      <c r="C2851" t="s">
        <v>61</v>
      </c>
    </row>
    <row r="2852" spans="1:3" x14ac:dyDescent="0.25">
      <c r="A2852" t="str">
        <f>"380803593"</f>
        <v>380803593</v>
      </c>
      <c r="B2852" t="str">
        <f>"PUV FOYER ROSE ACHARD"</f>
        <v>PUV FOYER ROSE ACHARD</v>
      </c>
      <c r="C2852" t="s">
        <v>61</v>
      </c>
    </row>
    <row r="2853" spans="1:3" x14ac:dyDescent="0.25">
      <c r="A2853" t="str">
        <f>"380803809"</f>
        <v>380803809</v>
      </c>
      <c r="B2853" t="str">
        <f>"EHPAD VILLA DU ROZAT"</f>
        <v>EHPAD VILLA DU ROZAT</v>
      </c>
      <c r="C2853" t="s">
        <v>61</v>
      </c>
    </row>
    <row r="2854" spans="1:3" x14ac:dyDescent="0.25">
      <c r="A2854" t="str">
        <f>"380803890"</f>
        <v>380803890</v>
      </c>
      <c r="B2854" t="str">
        <f>"EHPAD L'ARCHE"</f>
        <v>EHPAD L'ARCHE</v>
      </c>
      <c r="C2854" t="s">
        <v>61</v>
      </c>
    </row>
    <row r="2855" spans="1:3" x14ac:dyDescent="0.25">
      <c r="A2855" t="str">
        <f>"380803916"</f>
        <v>380803916</v>
      </c>
      <c r="B2855" t="str">
        <f>"RESID. D'ACCUEIL ET DE SOINS LE PERRON"</f>
        <v>RESID. D'ACCUEIL ET DE SOINS LE PERRON</v>
      </c>
      <c r="C2855" t="s">
        <v>61</v>
      </c>
    </row>
    <row r="2856" spans="1:3" x14ac:dyDescent="0.25">
      <c r="A2856" t="str">
        <f>"380804005"</f>
        <v>380804005</v>
      </c>
      <c r="B2856" t="str">
        <f>"EHPAD LE DAUPHIN BLEU BEAUREPAIRE"</f>
        <v>EHPAD LE DAUPHIN BLEU BEAUREPAIRE</v>
      </c>
      <c r="C2856" t="s">
        <v>61</v>
      </c>
    </row>
    <row r="2857" spans="1:3" x14ac:dyDescent="0.25">
      <c r="A2857" t="str">
        <f>"380804617"</f>
        <v>380804617</v>
      </c>
      <c r="B2857" t="str">
        <f>"EHPAD LA TOURMALINE VOIRON"</f>
        <v>EHPAD LA TOURMALINE VOIRON</v>
      </c>
      <c r="C2857" t="s">
        <v>61</v>
      </c>
    </row>
    <row r="2858" spans="1:3" x14ac:dyDescent="0.25">
      <c r="A2858" t="str">
        <f>"380804732"</f>
        <v>380804732</v>
      </c>
      <c r="B2858" t="str">
        <f>"RESIDENCE LA CARAVELLE"</f>
        <v>RESIDENCE LA CARAVELLE</v>
      </c>
      <c r="C2858" t="s">
        <v>61</v>
      </c>
    </row>
    <row r="2859" spans="1:3" x14ac:dyDescent="0.25">
      <c r="A2859" t="str">
        <f>"380804740"</f>
        <v>380804740</v>
      </c>
      <c r="B2859" t="str">
        <f>"RESIDENCE L'ARC EN CIEL"</f>
        <v>RESIDENCE L'ARC EN CIEL</v>
      </c>
      <c r="C2859" t="s">
        <v>61</v>
      </c>
    </row>
    <row r="2860" spans="1:3" x14ac:dyDescent="0.25">
      <c r="A2860" t="str">
        <f>"390001469"</f>
        <v>390001469</v>
      </c>
      <c r="B2860" t="str">
        <f>"EHPAD ARTEMIS"</f>
        <v>EHPAD ARTEMIS</v>
      </c>
      <c r="C2860" t="s">
        <v>64</v>
      </c>
    </row>
    <row r="2861" spans="1:3" x14ac:dyDescent="0.25">
      <c r="A2861" t="str">
        <f>"390004422"</f>
        <v>390004422</v>
      </c>
      <c r="B2861" t="str">
        <f>"EHPAD CANTOU LA POMME D OR ST CLAUDE"</f>
        <v>EHPAD CANTOU LA POMME D OR ST CLAUDE</v>
      </c>
      <c r="C2861" t="s">
        <v>64</v>
      </c>
    </row>
    <row r="2862" spans="1:3" x14ac:dyDescent="0.25">
      <c r="A2862" t="str">
        <f>"390004430"</f>
        <v>390004430</v>
      </c>
      <c r="B2862" t="str">
        <f>"EHPAD CANTOU LANCON 1 SAINT CLAUDE"</f>
        <v>EHPAD CANTOU LANCON 1 SAINT CLAUDE</v>
      </c>
      <c r="C2862" t="s">
        <v>64</v>
      </c>
    </row>
    <row r="2863" spans="1:3" x14ac:dyDescent="0.25">
      <c r="A2863" t="str">
        <f>"390004455"</f>
        <v>390004455</v>
      </c>
      <c r="B2863" t="str">
        <f>"EHPAD CANTOU LANCON 2 SAINT CLAUDE"</f>
        <v>EHPAD CANTOU LANCON 2 SAINT CLAUDE</v>
      </c>
      <c r="C2863" t="s">
        <v>64</v>
      </c>
    </row>
    <row r="2864" spans="1:3" x14ac:dyDescent="0.25">
      <c r="A2864" t="str">
        <f>"390004463"</f>
        <v>390004463</v>
      </c>
      <c r="B2864" t="str">
        <f>"EHPAD CANTOU VALLEE DE BIENNE MOLINGES"</f>
        <v>EHPAD CANTOU VALLEE DE BIENNE MOLINGES</v>
      </c>
      <c r="C2864" t="s">
        <v>64</v>
      </c>
    </row>
    <row r="2865" spans="1:3" x14ac:dyDescent="0.25">
      <c r="A2865" t="str">
        <f>"390004471"</f>
        <v>390004471</v>
      </c>
      <c r="B2865" t="str">
        <f>"EHPAD CANTOU DES SAPHIRS SEPTMONCEL"</f>
        <v>EHPAD CANTOU DES SAPHIRS SEPTMONCEL</v>
      </c>
      <c r="C2865" t="s">
        <v>64</v>
      </c>
    </row>
    <row r="2866" spans="1:3" x14ac:dyDescent="0.25">
      <c r="A2866" t="str">
        <f>"390004497"</f>
        <v>390004497</v>
      </c>
      <c r="B2866" t="str">
        <f>"EHPAD CANTOU DES BOUCHOUX"</f>
        <v>EHPAD CANTOU DES BOUCHOUX</v>
      </c>
      <c r="C2866" t="s">
        <v>64</v>
      </c>
    </row>
    <row r="2867" spans="1:3" x14ac:dyDescent="0.25">
      <c r="A2867" t="str">
        <f>"390004505"</f>
        <v>390004505</v>
      </c>
      <c r="B2867" t="str">
        <f>"EHPAD CANTOU DES JARDINS LONGCHAUMOIS"</f>
        <v>EHPAD CANTOU DES JARDINS LONGCHAUMOIS</v>
      </c>
      <c r="C2867" t="s">
        <v>64</v>
      </c>
    </row>
    <row r="2868" spans="1:3" x14ac:dyDescent="0.25">
      <c r="A2868" t="str">
        <f>"390004695"</f>
        <v>390004695</v>
      </c>
      <c r="B2868" t="str">
        <f>"EHPAD NOTRE MAISON"</f>
        <v>EHPAD NOTRE MAISON</v>
      </c>
      <c r="C2868" t="s">
        <v>64</v>
      </c>
    </row>
    <row r="2869" spans="1:3" x14ac:dyDescent="0.25">
      <c r="A2869" t="str">
        <f>"390004745"</f>
        <v>390004745</v>
      </c>
      <c r="B2869" t="str">
        <f>"EHPAD RESIDENCE DU MOULIN"</f>
        <v>EHPAD RESIDENCE DU MOULIN</v>
      </c>
      <c r="C2869" t="s">
        <v>64</v>
      </c>
    </row>
    <row r="2870" spans="1:3" x14ac:dyDescent="0.25">
      <c r="A2870" t="str">
        <f>"390005148"</f>
        <v>390005148</v>
      </c>
      <c r="B2870" t="str">
        <f>"EHPAD LES IRIS"</f>
        <v>EHPAD LES IRIS</v>
      </c>
      <c r="C2870" t="s">
        <v>64</v>
      </c>
    </row>
    <row r="2871" spans="1:3" x14ac:dyDescent="0.25">
      <c r="A2871" t="str">
        <f>"390005189"</f>
        <v>390005189</v>
      </c>
      <c r="B2871" t="str">
        <f>"EHPAD P BRANTUS"</f>
        <v>EHPAD P BRANTUS</v>
      </c>
      <c r="C2871" t="s">
        <v>64</v>
      </c>
    </row>
    <row r="2872" spans="1:3" x14ac:dyDescent="0.25">
      <c r="A2872" t="str">
        <f>"390005718"</f>
        <v>390005718</v>
      </c>
      <c r="B2872" t="str">
        <f>"LE JARDIN DE SEQUANIE"</f>
        <v>LE JARDIN DE SEQUANIE</v>
      </c>
      <c r="C2872" t="s">
        <v>64</v>
      </c>
    </row>
    <row r="2873" spans="1:3" x14ac:dyDescent="0.25">
      <c r="A2873" t="str">
        <f>"390005999"</f>
        <v>390005999</v>
      </c>
      <c r="B2873" t="str">
        <f>"EHPAD BOIS D AMONT CANTOU DU RISOUX"</f>
        <v>EHPAD BOIS D AMONT CANTOU DU RISOUX</v>
      </c>
      <c r="C2873" t="s">
        <v>64</v>
      </c>
    </row>
    <row r="2874" spans="1:3" x14ac:dyDescent="0.25">
      <c r="A2874" t="str">
        <f>"390006138"</f>
        <v>390006138</v>
      </c>
      <c r="B2874" t="str">
        <f>"EHPAD RESIDENCE DES LACS"</f>
        <v>EHPAD RESIDENCE DES LACS</v>
      </c>
      <c r="C2874" t="s">
        <v>64</v>
      </c>
    </row>
    <row r="2875" spans="1:3" x14ac:dyDescent="0.25">
      <c r="A2875" t="str">
        <f>"390006187"</f>
        <v>390006187</v>
      </c>
      <c r="B2875" t="str">
        <f>"EHPAD CANTOU DU LIZON"</f>
        <v>EHPAD CANTOU DU LIZON</v>
      </c>
      <c r="C2875" t="s">
        <v>64</v>
      </c>
    </row>
    <row r="2876" spans="1:3" x14ac:dyDescent="0.25">
      <c r="A2876" t="str">
        <f>"390006195"</f>
        <v>390006195</v>
      </c>
      <c r="B2876" t="str">
        <f>"EHPAD MAISON FRANCOIS D ASSISE LONS"</f>
        <v>EHPAD MAISON FRANCOIS D ASSISE LONS</v>
      </c>
      <c r="C2876" t="s">
        <v>64</v>
      </c>
    </row>
    <row r="2877" spans="1:3" x14ac:dyDescent="0.25">
      <c r="A2877" t="str">
        <f>"390006203"</f>
        <v>390006203</v>
      </c>
      <c r="B2877" t="str">
        <f>"EHPAD LE JARDIN DU SEILLON BLETTERANS"</f>
        <v>EHPAD LE JARDIN DU SEILLON BLETTERANS</v>
      </c>
      <c r="C2877" t="s">
        <v>64</v>
      </c>
    </row>
    <row r="2878" spans="1:3" x14ac:dyDescent="0.25">
      <c r="A2878" t="str">
        <f>"390006211"</f>
        <v>390006211</v>
      </c>
      <c r="B2878" t="str">
        <f>"EHPAD RESIDENCE DE COURCELLES"</f>
        <v>EHPAD RESIDENCE DE COURCELLES</v>
      </c>
      <c r="C2878" t="s">
        <v>64</v>
      </c>
    </row>
    <row r="2879" spans="1:3" x14ac:dyDescent="0.25">
      <c r="A2879" t="str">
        <f>"390006336"</f>
        <v>390006336</v>
      </c>
      <c r="B2879" t="str">
        <f>"EHPAD CH DE DOLE"</f>
        <v>EHPAD CH DE DOLE</v>
      </c>
      <c r="C2879" t="s">
        <v>64</v>
      </c>
    </row>
    <row r="2880" spans="1:3" x14ac:dyDescent="0.25">
      <c r="A2880" t="str">
        <f>"390008324"</f>
        <v>390008324</v>
      </c>
      <c r="B2880" t="str">
        <f>"EHPAD LES MURIERS SITE CHS ST YLIE"</f>
        <v>EHPAD LES MURIERS SITE CHS ST YLIE</v>
      </c>
      <c r="C2880" t="s">
        <v>64</v>
      </c>
    </row>
    <row r="2881" spans="1:3" x14ac:dyDescent="0.25">
      <c r="A2881" t="str">
        <f>"390780096"</f>
        <v>390780096</v>
      </c>
      <c r="B2881" t="str">
        <f>"EHPAD LA CHATELAINE MONTMOROT"</f>
        <v>EHPAD LA CHATELAINE MONTMOROT</v>
      </c>
      <c r="C2881" t="s">
        <v>64</v>
      </c>
    </row>
    <row r="2882" spans="1:3" x14ac:dyDescent="0.25">
      <c r="A2882" t="str">
        <f>"390780203"</f>
        <v>390780203</v>
      </c>
      <c r="B2882" t="str">
        <f>"EHPAD CH JURA SUD ARINTHOD"</f>
        <v>EHPAD CH JURA SUD ARINTHOD</v>
      </c>
      <c r="C2882" t="s">
        <v>64</v>
      </c>
    </row>
    <row r="2883" spans="1:3" x14ac:dyDescent="0.25">
      <c r="A2883" t="str">
        <f>"390780245"</f>
        <v>390780245</v>
      </c>
      <c r="B2883" t="str">
        <f>"EHPAD LA MAIS ANGE"</f>
        <v>EHPAD LA MAIS ANGE</v>
      </c>
      <c r="C2883" t="s">
        <v>64</v>
      </c>
    </row>
    <row r="2884" spans="1:3" x14ac:dyDescent="0.25">
      <c r="A2884" t="str">
        <f>"390780302"</f>
        <v>390780302</v>
      </c>
      <c r="B2884" t="str">
        <f>"EHPAD ST JOSEPH DOLE"</f>
        <v>EHPAD ST JOSEPH DOLE</v>
      </c>
      <c r="C2884" t="s">
        <v>64</v>
      </c>
    </row>
    <row r="2885" spans="1:3" x14ac:dyDescent="0.25">
      <c r="A2885" t="str">
        <f>"390781151"</f>
        <v>390781151</v>
      </c>
      <c r="B2885" t="str">
        <f>"EHPAD ST JULIEN DU CH JURA SUD"</f>
        <v>EHPAD ST JULIEN DU CH JURA SUD</v>
      </c>
      <c r="C2885" t="s">
        <v>64</v>
      </c>
    </row>
    <row r="2886" spans="1:3" x14ac:dyDescent="0.25">
      <c r="A2886" t="str">
        <f>"390781169"</f>
        <v>390781169</v>
      </c>
      <c r="B2886" t="str">
        <f>"EHPAD DE BIAN COUSANCE"</f>
        <v>EHPAD DE BIAN COUSANCE</v>
      </c>
      <c r="C2886" t="s">
        <v>64</v>
      </c>
    </row>
    <row r="2887" spans="1:3" x14ac:dyDescent="0.25">
      <c r="A2887" t="str">
        <f>"390782209"</f>
        <v>390782209</v>
      </c>
      <c r="B2887" t="str">
        <f>"EHPAD CH ST CLAUDE"</f>
        <v>EHPAD CH ST CLAUDE</v>
      </c>
      <c r="C2887" t="s">
        <v>64</v>
      </c>
    </row>
    <row r="2888" spans="1:3" x14ac:dyDescent="0.25">
      <c r="A2888" t="str">
        <f>"390782225"</f>
        <v>390782225</v>
      </c>
      <c r="B2888" t="str">
        <f>"EHPAD BRACON"</f>
        <v>EHPAD BRACON</v>
      </c>
      <c r="C2888" t="s">
        <v>64</v>
      </c>
    </row>
    <row r="2889" spans="1:3" x14ac:dyDescent="0.25">
      <c r="A2889" t="str">
        <f>"390782241"</f>
        <v>390782241</v>
      </c>
      <c r="B2889" t="str">
        <f>"EHPAD CH MOREZ"</f>
        <v>EHPAD CH MOREZ</v>
      </c>
      <c r="C2889" t="s">
        <v>64</v>
      </c>
    </row>
    <row r="2890" spans="1:3" x14ac:dyDescent="0.25">
      <c r="A2890" t="str">
        <f>"390782258"</f>
        <v>390782258</v>
      </c>
      <c r="B2890" t="str">
        <f>"EHPAD RESIDENCE DELORT ET L'ERMITAGE"</f>
        <v>EHPAD RESIDENCE DELORT ET L'ERMITAGE</v>
      </c>
      <c r="C2890" t="s">
        <v>64</v>
      </c>
    </row>
    <row r="2891" spans="1:3" x14ac:dyDescent="0.25">
      <c r="A2891" t="str">
        <f>"390782316"</f>
        <v>390782316</v>
      </c>
      <c r="B2891" t="str">
        <f>"EHPAD CHATEAU DE VANNOZ"</f>
        <v>EHPAD CHATEAU DE VANNOZ</v>
      </c>
      <c r="C2891" t="s">
        <v>64</v>
      </c>
    </row>
    <row r="2892" spans="1:3" x14ac:dyDescent="0.25">
      <c r="A2892" t="str">
        <f>"390782381"</f>
        <v>390782381</v>
      </c>
      <c r="B2892" t="str">
        <f>"EHPAD LOUISE MIGNOT ST LAURENT"</f>
        <v>EHPAD LOUISE MIGNOT ST LAURENT</v>
      </c>
      <c r="C2892" t="s">
        <v>64</v>
      </c>
    </row>
    <row r="2893" spans="1:3" x14ac:dyDescent="0.25">
      <c r="A2893" t="str">
        <f>"390782449"</f>
        <v>390782449</v>
      </c>
      <c r="B2893" t="str">
        <f>"EHPAD STE MARTHE VOITEUR"</f>
        <v>EHPAD STE MARTHE VOITEUR</v>
      </c>
      <c r="C2893" t="s">
        <v>64</v>
      </c>
    </row>
    <row r="2894" spans="1:3" x14ac:dyDescent="0.25">
      <c r="A2894" t="str">
        <f>"390782472"</f>
        <v>390782472</v>
      </c>
      <c r="B2894" t="str">
        <f>"MA MAISON - PETITES SOEURS DES PAUVRES"</f>
        <v>MA MAISON - PETITES SOEURS DES PAUVRES</v>
      </c>
      <c r="C2894" t="s">
        <v>64</v>
      </c>
    </row>
    <row r="2895" spans="1:3" x14ac:dyDescent="0.25">
      <c r="A2895" t="str">
        <f>"390782480"</f>
        <v>390782480</v>
      </c>
      <c r="B2895" t="str">
        <f>"EHPAD LES CHARMETTES"</f>
        <v>EHPAD LES CHARMETTES</v>
      </c>
      <c r="C2895" t="s">
        <v>64</v>
      </c>
    </row>
    <row r="2896" spans="1:3" x14ac:dyDescent="0.25">
      <c r="A2896" t="str">
        <f>"390782514"</f>
        <v>390782514</v>
      </c>
      <c r="B2896" t="str">
        <f>"EHPAD LES OPALINES FRAISANS"</f>
        <v>EHPAD LES OPALINES FRAISANS</v>
      </c>
      <c r="C2896" t="s">
        <v>64</v>
      </c>
    </row>
    <row r="2897" spans="1:3" x14ac:dyDescent="0.25">
      <c r="A2897" t="str">
        <f>"390783942"</f>
        <v>390783942</v>
      </c>
      <c r="B2897" t="str">
        <f>"EHPAD LES ABERJOUX SITE CHS ST YLIE"</f>
        <v>EHPAD LES ABERJOUX SITE CHS ST YLIE</v>
      </c>
      <c r="C2897" t="s">
        <v>64</v>
      </c>
    </row>
    <row r="2898" spans="1:3" x14ac:dyDescent="0.25">
      <c r="A2898" t="str">
        <f>"390783959"</f>
        <v>390783959</v>
      </c>
      <c r="B2898" t="str">
        <f>"EHPAD CH JURA SUD CHAMPAGNOLE"</f>
        <v>EHPAD CH JURA SUD CHAMPAGNOLE</v>
      </c>
      <c r="C2898" t="s">
        <v>64</v>
      </c>
    </row>
    <row r="2899" spans="1:3" x14ac:dyDescent="0.25">
      <c r="A2899" t="str">
        <f>"390784080"</f>
        <v>390784080</v>
      </c>
      <c r="B2899" t="str">
        <f>"EHPAD ORGELET DU CH JURA SUD"</f>
        <v>EHPAD ORGELET DU CH JURA SUD</v>
      </c>
      <c r="C2899" t="s">
        <v>64</v>
      </c>
    </row>
    <row r="2900" spans="1:3" x14ac:dyDescent="0.25">
      <c r="A2900" t="str">
        <f>"390784098"</f>
        <v>390784098</v>
      </c>
      <c r="B2900" t="str">
        <f>"EHPAD LUCIEN GUICHARD SAINT AMOUR"</f>
        <v>EHPAD LUCIEN GUICHARD SAINT AMOUR</v>
      </c>
      <c r="C2900" t="s">
        <v>64</v>
      </c>
    </row>
    <row r="2901" spans="1:3" x14ac:dyDescent="0.25">
      <c r="A2901" t="str">
        <f>"390784114"</f>
        <v>390784114</v>
      </c>
      <c r="B2901" t="str">
        <f>"EHPAD DE POLIGNY"</f>
        <v>EHPAD DE POLIGNY</v>
      </c>
      <c r="C2901" t="s">
        <v>64</v>
      </c>
    </row>
    <row r="2902" spans="1:3" x14ac:dyDescent="0.25">
      <c r="A2902" t="str">
        <f>"390784155"</f>
        <v>390784155</v>
      </c>
      <c r="B2902" t="str">
        <f>"EHPAD CLAIR JURA MONTAIN"</f>
        <v>EHPAD CLAIR JURA MONTAIN</v>
      </c>
      <c r="C2902" t="s">
        <v>64</v>
      </c>
    </row>
    <row r="2903" spans="1:3" x14ac:dyDescent="0.25">
      <c r="A2903" t="str">
        <f>"390784445"</f>
        <v>390784445</v>
      </c>
      <c r="B2903" t="str">
        <f>"EHPAD RESIDENCE PIERRE BABET"</f>
        <v>EHPAD RESIDENCE PIERRE BABET</v>
      </c>
      <c r="C2903" t="s">
        <v>64</v>
      </c>
    </row>
    <row r="2904" spans="1:3" x14ac:dyDescent="0.25">
      <c r="A2904" t="str">
        <f>"390784478"</f>
        <v>390784478</v>
      </c>
      <c r="B2904" t="str">
        <f>"EHPAD CHEMIN DE YOLINE NOZEROY"</f>
        <v>EHPAD CHEMIN DE YOLINE NOZEROY</v>
      </c>
      <c r="C2904" t="s">
        <v>64</v>
      </c>
    </row>
    <row r="2905" spans="1:3" x14ac:dyDescent="0.25">
      <c r="A2905" t="str">
        <f>"390785160"</f>
        <v>390785160</v>
      </c>
      <c r="B2905" t="str">
        <f>"EHPAD LES OPALINES CHAMBLAY"</f>
        <v>EHPAD LES OPALINES CHAMBLAY</v>
      </c>
      <c r="C2905" t="s">
        <v>64</v>
      </c>
    </row>
    <row r="2906" spans="1:3" x14ac:dyDescent="0.25">
      <c r="A2906" t="str">
        <f>"390785186"</f>
        <v>390785186</v>
      </c>
      <c r="B2906" t="str">
        <f>"EHPAD EDILYS LONS"</f>
        <v>EHPAD EDILYS LONS</v>
      </c>
      <c r="C2906" t="s">
        <v>64</v>
      </c>
    </row>
    <row r="2907" spans="1:3" x14ac:dyDescent="0.25">
      <c r="A2907" t="str">
        <f>"390785608"</f>
        <v>390785608</v>
      </c>
      <c r="B2907" t="str">
        <f>"EHPAD LES OPALINES FOUCHERANS"</f>
        <v>EHPAD LES OPALINES FOUCHERANS</v>
      </c>
      <c r="C2907" t="s">
        <v>64</v>
      </c>
    </row>
    <row r="2908" spans="1:3" x14ac:dyDescent="0.25">
      <c r="A2908" t="str">
        <f>"390786176"</f>
        <v>390786176</v>
      </c>
      <c r="B2908" t="str">
        <f>"EHPAD PARC DES SALINES"</f>
        <v>EHPAD PARC DES SALINES</v>
      </c>
      <c r="C2908" t="s">
        <v>64</v>
      </c>
    </row>
    <row r="2909" spans="1:3" x14ac:dyDescent="0.25">
      <c r="A2909" t="str">
        <f>"390786465"</f>
        <v>390786465</v>
      </c>
      <c r="B2909" t="str">
        <f>"EHPAD ECLAIRCIE EQUEVILLON"</f>
        <v>EHPAD ECLAIRCIE EQUEVILLON</v>
      </c>
      <c r="C2909" t="s">
        <v>64</v>
      </c>
    </row>
    <row r="2910" spans="1:3" x14ac:dyDescent="0.25">
      <c r="A2910" t="str">
        <f>"400006748"</f>
        <v>400006748</v>
      </c>
      <c r="B2910" t="str">
        <f>"EHPAD CANTE CIGALE"</f>
        <v>EHPAD CANTE CIGALE</v>
      </c>
      <c r="C2910" t="s">
        <v>70</v>
      </c>
    </row>
    <row r="2911" spans="1:3" x14ac:dyDescent="0.25">
      <c r="A2911" t="str">
        <f>"400009098"</f>
        <v>400009098</v>
      </c>
      <c r="B2911" t="str">
        <f>"EHPAD RESIDENCE DE MÂA"</f>
        <v>EHPAD RESIDENCE DE MÂA</v>
      </c>
      <c r="C2911" t="s">
        <v>70</v>
      </c>
    </row>
    <row r="2912" spans="1:3" x14ac:dyDescent="0.25">
      <c r="A2912" t="str">
        <f>"400009908"</f>
        <v>400009908</v>
      </c>
      <c r="B2912" t="str">
        <f>"EHPAD DU CH DE SAINT SEVER"</f>
        <v>EHPAD DU CH DE SAINT SEVER</v>
      </c>
      <c r="C2912" t="s">
        <v>70</v>
      </c>
    </row>
    <row r="2913" spans="1:3" x14ac:dyDescent="0.25">
      <c r="A2913" t="str">
        <f>"400010278"</f>
        <v>400010278</v>
      </c>
      <c r="B2913" t="str">
        <f>"EHPAD LES RIVES DU MIDOU"</f>
        <v>EHPAD LES RIVES DU MIDOU</v>
      </c>
      <c r="C2913" t="s">
        <v>70</v>
      </c>
    </row>
    <row r="2914" spans="1:3" x14ac:dyDescent="0.25">
      <c r="A2914" t="str">
        <f>"400010518"</f>
        <v>400010518</v>
      </c>
      <c r="B2914" t="str">
        <f>"EHPAD LES MAGNOLIAS"</f>
        <v>EHPAD LES MAGNOLIAS</v>
      </c>
      <c r="C2914" t="s">
        <v>70</v>
      </c>
    </row>
    <row r="2915" spans="1:3" x14ac:dyDescent="0.25">
      <c r="A2915" t="str">
        <f>"400010559"</f>
        <v>400010559</v>
      </c>
      <c r="B2915" t="str">
        <f>"EHPAD DU CH DE DAX"</f>
        <v>EHPAD DU CH DE DAX</v>
      </c>
      <c r="C2915" t="s">
        <v>70</v>
      </c>
    </row>
    <row r="2916" spans="1:3" x14ac:dyDescent="0.25">
      <c r="A2916" t="str">
        <f>"400010708"</f>
        <v>400010708</v>
      </c>
      <c r="B2916" t="str">
        <f>"EHPAD LES BALCONS DE LA LEYRE"</f>
        <v>EHPAD LES BALCONS DE LA LEYRE</v>
      </c>
      <c r="C2916" t="s">
        <v>70</v>
      </c>
    </row>
    <row r="2917" spans="1:3" x14ac:dyDescent="0.25">
      <c r="A2917" t="str">
        <f>"400010799"</f>
        <v>400010799</v>
      </c>
      <c r="B2917" t="str">
        <f>"EHPAD MARIE PATICAT"</f>
        <v>EHPAD MARIE PATICAT</v>
      </c>
      <c r="C2917" t="s">
        <v>70</v>
      </c>
    </row>
    <row r="2918" spans="1:3" x14ac:dyDescent="0.25">
      <c r="A2918" t="str">
        <f>"400010898"</f>
        <v>400010898</v>
      </c>
      <c r="B2918" t="str">
        <f>"EHPAD DES 5 RIVIERES"</f>
        <v>EHPAD DES 5 RIVIERES</v>
      </c>
      <c r="C2918" t="s">
        <v>70</v>
      </c>
    </row>
    <row r="2919" spans="1:3" x14ac:dyDescent="0.25">
      <c r="A2919" t="str">
        <f>"400011045"</f>
        <v>400011045</v>
      </c>
      <c r="B2919" t="str">
        <f>"EHPAD LES ALBIZZIAS"</f>
        <v>EHPAD LES ALBIZZIAS</v>
      </c>
      <c r="C2919" t="s">
        <v>70</v>
      </c>
    </row>
    <row r="2920" spans="1:3" x14ac:dyDescent="0.25">
      <c r="A2920" t="str">
        <f>"400011102"</f>
        <v>400011102</v>
      </c>
      <c r="B2920" t="str">
        <f>"EHPAD L'ALAOUDE"</f>
        <v>EHPAD L'ALAOUDE</v>
      </c>
      <c r="C2920" t="s">
        <v>70</v>
      </c>
    </row>
    <row r="2921" spans="1:3" x14ac:dyDescent="0.25">
      <c r="A2921" t="str">
        <f>"400013595"</f>
        <v>400013595</v>
      </c>
      <c r="B2921" t="str">
        <f>"EHPAD NOUVIELLE"</f>
        <v>EHPAD NOUVIELLE</v>
      </c>
      <c r="C2921" t="s">
        <v>70</v>
      </c>
    </row>
    <row r="2922" spans="1:3" x14ac:dyDescent="0.25">
      <c r="A2922" t="str">
        <f>"400013983"</f>
        <v>400013983</v>
      </c>
      <c r="B2922" t="str">
        <f>"EHPAD GASTON LARRIEU"</f>
        <v>EHPAD GASTON LARRIEU</v>
      </c>
      <c r="C2922" t="s">
        <v>70</v>
      </c>
    </row>
    <row r="2923" spans="1:3" x14ac:dyDescent="0.25">
      <c r="A2923" t="str">
        <f>"400780706"</f>
        <v>400780706</v>
      </c>
      <c r="B2923" t="str">
        <f>"EHPAD GERARD MINVIELLE"</f>
        <v>EHPAD GERARD MINVIELLE</v>
      </c>
      <c r="C2923" t="s">
        <v>70</v>
      </c>
    </row>
    <row r="2924" spans="1:3" x14ac:dyDescent="0.25">
      <c r="A2924" t="str">
        <f>"400780714"</f>
        <v>400780714</v>
      </c>
      <c r="B2924" t="str">
        <f>"EHPAD LEON DUBEDAT"</f>
        <v>EHPAD LEON DUBEDAT</v>
      </c>
      <c r="C2924" t="s">
        <v>70</v>
      </c>
    </row>
    <row r="2925" spans="1:3" x14ac:dyDescent="0.25">
      <c r="A2925" t="str">
        <f>"400780722"</f>
        <v>400780722</v>
      </c>
      <c r="B2925" t="str">
        <f>"EHPAD RESIDENCE LES AJONCS"</f>
        <v>EHPAD RESIDENCE LES AJONCS</v>
      </c>
      <c r="C2925" t="s">
        <v>70</v>
      </c>
    </row>
    <row r="2926" spans="1:3" x14ac:dyDescent="0.25">
      <c r="A2926" t="str">
        <f>"400780730"</f>
        <v>400780730</v>
      </c>
      <c r="B2926" t="str">
        <f>"EHPAD RESIDENCE COEUR DU TURSAN"</f>
        <v>EHPAD RESIDENCE COEUR DU TURSAN</v>
      </c>
      <c r="C2926" t="s">
        <v>70</v>
      </c>
    </row>
    <row r="2927" spans="1:3" x14ac:dyDescent="0.25">
      <c r="A2927" t="str">
        <f>"400780755"</f>
        <v>400780755</v>
      </c>
      <c r="B2927" t="str">
        <f>"EHPAD RSD DES LANDES-SITE LABASTIDE"</f>
        <v>EHPAD RSD DES LANDES-SITE LABASTIDE</v>
      </c>
      <c r="C2927" t="s">
        <v>70</v>
      </c>
    </row>
    <row r="2928" spans="1:3" x14ac:dyDescent="0.25">
      <c r="A2928" t="str">
        <f>"400780763"</f>
        <v>400780763</v>
      </c>
      <c r="B2928" t="str">
        <f>"EHPAD FONDATION SAINT SEVER DE LUXEY"</f>
        <v>EHPAD FONDATION SAINT SEVER DE LUXEY</v>
      </c>
      <c r="C2928" t="s">
        <v>70</v>
      </c>
    </row>
    <row r="2929" spans="1:3" x14ac:dyDescent="0.25">
      <c r="A2929" t="str">
        <f>"400780771"</f>
        <v>400780771</v>
      </c>
      <c r="B2929" t="str">
        <f>"EHPAD - MAISON DE RETRAITE DE MORCENX"</f>
        <v>EHPAD - MAISON DE RETRAITE DE MORCENX</v>
      </c>
      <c r="C2929" t="s">
        <v>70</v>
      </c>
    </row>
    <row r="2930" spans="1:3" x14ac:dyDescent="0.25">
      <c r="A2930" t="str">
        <f>"400780789"</f>
        <v>400780789</v>
      </c>
      <c r="B2930" t="str">
        <f>"EHPAD ST JACQUES"</f>
        <v>EHPAD ST JACQUES</v>
      </c>
      <c r="C2930" t="s">
        <v>70</v>
      </c>
    </row>
    <row r="2931" spans="1:3" x14ac:dyDescent="0.25">
      <c r="A2931" t="str">
        <f>"400780797"</f>
        <v>400780797</v>
      </c>
      <c r="B2931" t="str">
        <f>"EHPAD DOMAINE NAUTON TRUQUEZ"</f>
        <v>EHPAD DOMAINE NAUTON TRUQUEZ</v>
      </c>
      <c r="C2931" t="s">
        <v>70</v>
      </c>
    </row>
    <row r="2932" spans="1:3" x14ac:dyDescent="0.25">
      <c r="A2932" t="str">
        <f>"400780805"</f>
        <v>400780805</v>
      </c>
      <c r="B2932" t="str">
        <f>"EHPAD RSD DES LANDES-SITE ROQUEFORT"</f>
        <v>EHPAD RSD DES LANDES-SITE ROQUEFORT</v>
      </c>
      <c r="C2932" t="s">
        <v>70</v>
      </c>
    </row>
    <row r="2933" spans="1:3" x14ac:dyDescent="0.25">
      <c r="A2933" t="str">
        <f>"400780813"</f>
        <v>400780813</v>
      </c>
      <c r="B2933" t="str">
        <f>"EHPAD LEON LAFOURCADE"</f>
        <v>EHPAD LEON LAFOURCADE</v>
      </c>
      <c r="C2933" t="s">
        <v>70</v>
      </c>
    </row>
    <row r="2934" spans="1:3" x14ac:dyDescent="0.25">
      <c r="A2934" t="str">
        <f>"400780839"</f>
        <v>400780839</v>
      </c>
      <c r="B2934" t="str">
        <f>"EHPAD DE VILLENEUVE DE MARSAN"</f>
        <v>EHPAD DE VILLENEUVE DE MARSAN</v>
      </c>
      <c r="C2934" t="s">
        <v>70</v>
      </c>
    </row>
    <row r="2935" spans="1:3" x14ac:dyDescent="0.25">
      <c r="A2935" t="str">
        <f>"400780847"</f>
        <v>400780847</v>
      </c>
      <c r="B2935" t="str">
        <f>"EHPAD BERNARD LESGOURGUES"</f>
        <v>EHPAD BERNARD LESGOURGUES</v>
      </c>
      <c r="C2935" t="s">
        <v>70</v>
      </c>
    </row>
    <row r="2936" spans="1:3" x14ac:dyDescent="0.25">
      <c r="A2936" t="str">
        <f>"400780854"</f>
        <v>400780854</v>
      </c>
      <c r="B2936" t="str">
        <f>"EHPAD ROBERT LABEYRIE"</f>
        <v>EHPAD ROBERT LABEYRIE</v>
      </c>
      <c r="C2936" t="s">
        <v>70</v>
      </c>
    </row>
    <row r="2937" spans="1:3" x14ac:dyDescent="0.25">
      <c r="A2937" t="str">
        <f>"400780938"</f>
        <v>400780938</v>
      </c>
      <c r="B2937" t="str">
        <f>"EHPAD LESBASEILLES"</f>
        <v>EHPAD LESBASEILLES</v>
      </c>
      <c r="C2937" t="s">
        <v>70</v>
      </c>
    </row>
    <row r="2938" spans="1:3" x14ac:dyDescent="0.25">
      <c r="A2938" t="str">
        <f>"400780995"</f>
        <v>400780995</v>
      </c>
      <c r="B2938" t="str">
        <f>"EHPAD LE PEYRICAT"</f>
        <v>EHPAD LE PEYRICAT</v>
      </c>
      <c r="C2938" t="s">
        <v>70</v>
      </c>
    </row>
    <row r="2939" spans="1:3" x14ac:dyDescent="0.25">
      <c r="A2939" t="str">
        <f>"400781035"</f>
        <v>400781035</v>
      </c>
      <c r="B2939" t="str">
        <f>"EHPAD LA CHENAIE"</f>
        <v>EHPAD LA CHENAIE</v>
      </c>
      <c r="C2939" t="s">
        <v>70</v>
      </c>
    </row>
    <row r="2940" spans="1:3" x14ac:dyDescent="0.25">
      <c r="A2940" t="str">
        <f>"400781050"</f>
        <v>400781050</v>
      </c>
      <c r="B2940" t="str">
        <f>"EHPAD LE CHANT DES PINS"</f>
        <v>EHPAD LE CHANT DES PINS</v>
      </c>
      <c r="C2940" t="s">
        <v>70</v>
      </c>
    </row>
    <row r="2941" spans="1:3" x14ac:dyDescent="0.25">
      <c r="A2941" t="str">
        <f>"400781068"</f>
        <v>400781068</v>
      </c>
      <c r="B2941" t="str">
        <f>"EHPAD LOU CAMIN"</f>
        <v>EHPAD LOU CAMIN</v>
      </c>
      <c r="C2941" t="s">
        <v>70</v>
      </c>
    </row>
    <row r="2942" spans="1:3" x14ac:dyDescent="0.25">
      <c r="A2942" t="str">
        <f>"400781100"</f>
        <v>400781100</v>
      </c>
      <c r="B2942" t="str">
        <f>"EHPAD A NOSTE"</f>
        <v>EHPAD A NOSTE</v>
      </c>
      <c r="C2942" t="s">
        <v>70</v>
      </c>
    </row>
    <row r="2943" spans="1:3" x14ac:dyDescent="0.25">
      <c r="A2943" t="str">
        <f>"400781159"</f>
        <v>400781159</v>
      </c>
      <c r="B2943" t="str">
        <f>"EHPAD LE BERCEAU"</f>
        <v>EHPAD LE BERCEAU</v>
      </c>
      <c r="C2943" t="s">
        <v>70</v>
      </c>
    </row>
    <row r="2944" spans="1:3" x14ac:dyDescent="0.25">
      <c r="A2944" t="str">
        <f>"400781209"</f>
        <v>400781209</v>
      </c>
      <c r="B2944" t="str">
        <f>"EHPAD DU PAYS D'ALBRET"</f>
        <v>EHPAD DU PAYS D'ALBRET</v>
      </c>
      <c r="C2944" t="s">
        <v>70</v>
      </c>
    </row>
    <row r="2945" spans="1:3" x14ac:dyDescent="0.25">
      <c r="A2945" t="str">
        <f>"400781217"</f>
        <v>400781217</v>
      </c>
      <c r="B2945" t="str">
        <f>"EHPAD LA MARTINIERE"</f>
        <v>EHPAD LA MARTINIERE</v>
      </c>
      <c r="C2945" t="s">
        <v>70</v>
      </c>
    </row>
    <row r="2946" spans="1:3" x14ac:dyDescent="0.25">
      <c r="A2946" t="str">
        <f>"400781225"</f>
        <v>400781225</v>
      </c>
      <c r="B2946" t="str">
        <f>"EHPAD L'OUSTAOU"</f>
        <v>EHPAD L'OUSTAOU</v>
      </c>
      <c r="C2946" t="s">
        <v>70</v>
      </c>
    </row>
    <row r="2947" spans="1:3" x14ac:dyDescent="0.25">
      <c r="A2947" t="str">
        <f>"400781233"</f>
        <v>400781233</v>
      </c>
      <c r="B2947" t="str">
        <f>"EHPAD DU CAP DE GASCOGNE"</f>
        <v>EHPAD DU CAP DE GASCOGNE</v>
      </c>
      <c r="C2947" t="s">
        <v>70</v>
      </c>
    </row>
    <row r="2948" spans="1:3" x14ac:dyDescent="0.25">
      <c r="A2948" t="str">
        <f>"400781258"</f>
        <v>400781258</v>
      </c>
      <c r="B2948" t="str">
        <f>"EHPAD LES CINQ ETANGS"</f>
        <v>EHPAD LES CINQ ETANGS</v>
      </c>
      <c r="C2948" t="s">
        <v>70</v>
      </c>
    </row>
    <row r="2949" spans="1:3" x14ac:dyDescent="0.25">
      <c r="A2949" t="str">
        <f>"400781274"</f>
        <v>400781274</v>
      </c>
      <c r="B2949" t="str">
        <f>"EHPAD LES PEUPLIERS"</f>
        <v>EHPAD LES PEUPLIERS</v>
      </c>
      <c r="C2949" t="s">
        <v>70</v>
      </c>
    </row>
    <row r="2950" spans="1:3" x14ac:dyDescent="0.25">
      <c r="A2950" t="str">
        <f>"400781282"</f>
        <v>400781282</v>
      </c>
      <c r="B2950" t="str">
        <f>"EHPAD RESIDENCE SAINT PIERRE"</f>
        <v>EHPAD RESIDENCE SAINT PIERRE</v>
      </c>
      <c r="C2950" t="s">
        <v>70</v>
      </c>
    </row>
    <row r="2951" spans="1:3" x14ac:dyDescent="0.25">
      <c r="A2951" t="str">
        <f>"400782827"</f>
        <v>400782827</v>
      </c>
      <c r="B2951" t="str">
        <f>"EHPAD L'ESTELE"</f>
        <v>EHPAD L'ESTELE</v>
      </c>
      <c r="C2951" t="s">
        <v>70</v>
      </c>
    </row>
    <row r="2952" spans="1:3" x14ac:dyDescent="0.25">
      <c r="A2952" t="str">
        <f>"400782900"</f>
        <v>400782900</v>
      </c>
      <c r="B2952" t="str">
        <f>"EHPAD LE HAMEAU DE SAUBAGNAC"</f>
        <v>EHPAD LE HAMEAU DE SAUBAGNAC</v>
      </c>
      <c r="C2952" t="s">
        <v>70</v>
      </c>
    </row>
    <row r="2953" spans="1:3" x14ac:dyDescent="0.25">
      <c r="A2953" t="str">
        <f>"400782967"</f>
        <v>400782967</v>
      </c>
      <c r="B2953" t="str">
        <f>"EHPAD LE MARENSIN"</f>
        <v>EHPAD LE MARENSIN</v>
      </c>
      <c r="C2953" t="s">
        <v>70</v>
      </c>
    </row>
    <row r="2954" spans="1:3" x14ac:dyDescent="0.25">
      <c r="A2954" t="str">
        <f>"400783346"</f>
        <v>400783346</v>
      </c>
      <c r="B2954" t="str">
        <f>"EHPAD OLIVIER DARBLADE"</f>
        <v>EHPAD OLIVIER DARBLADE</v>
      </c>
      <c r="C2954" t="s">
        <v>70</v>
      </c>
    </row>
    <row r="2955" spans="1:3" x14ac:dyDescent="0.25">
      <c r="A2955" t="str">
        <f>"400784088"</f>
        <v>400784088</v>
      </c>
      <c r="B2955" t="str">
        <f>"EHPAD LA CHAUMIERE FLEURIE"</f>
        <v>EHPAD LA CHAUMIERE FLEURIE</v>
      </c>
      <c r="C2955" t="s">
        <v>70</v>
      </c>
    </row>
    <row r="2956" spans="1:3" x14ac:dyDescent="0.25">
      <c r="A2956" t="str">
        <f>"400785689"</f>
        <v>400785689</v>
      </c>
      <c r="B2956" t="str">
        <f>"EHPAD DU LOUTS"</f>
        <v>EHPAD DU LOUTS</v>
      </c>
      <c r="C2956" t="s">
        <v>70</v>
      </c>
    </row>
    <row r="2957" spans="1:3" x14ac:dyDescent="0.25">
      <c r="A2957" t="str">
        <f>"400785788"</f>
        <v>400785788</v>
      </c>
      <c r="B2957" t="str">
        <f>"EHPAD L'OREE DES PINS"</f>
        <v>EHPAD L'OREE DES PINS</v>
      </c>
      <c r="C2957" t="s">
        <v>70</v>
      </c>
    </row>
    <row r="2958" spans="1:3" x14ac:dyDescent="0.25">
      <c r="A2958" t="str">
        <f>"400785820"</f>
        <v>400785820</v>
      </c>
      <c r="B2958" t="str">
        <f>"EHPAD RESIDENCE DARBINS"</f>
        <v>EHPAD RESIDENCE DARBINS</v>
      </c>
      <c r="C2958" t="s">
        <v>70</v>
      </c>
    </row>
    <row r="2959" spans="1:3" x14ac:dyDescent="0.25">
      <c r="A2959" t="str">
        <f>"400786455"</f>
        <v>400786455</v>
      </c>
      <c r="B2959" t="str">
        <f>"EHPAD LE CONTE"</f>
        <v>EHPAD LE CONTE</v>
      </c>
      <c r="C2959" t="s">
        <v>70</v>
      </c>
    </row>
    <row r="2960" spans="1:3" x14ac:dyDescent="0.25">
      <c r="A2960" t="str">
        <f>"400787396"</f>
        <v>400787396</v>
      </c>
      <c r="B2960" t="str">
        <f>"EHPAD DU MARSAN"</f>
        <v>EHPAD DU MARSAN</v>
      </c>
      <c r="C2960" t="s">
        <v>70</v>
      </c>
    </row>
    <row r="2961" spans="1:3" x14ac:dyDescent="0.25">
      <c r="A2961" t="str">
        <f>"400787735"</f>
        <v>400787735</v>
      </c>
      <c r="B2961" t="str">
        <f>"EHPAD DES CENT MARCHES"</f>
        <v>EHPAD DES CENT MARCHES</v>
      </c>
      <c r="C2961" t="s">
        <v>70</v>
      </c>
    </row>
    <row r="2962" spans="1:3" x14ac:dyDescent="0.25">
      <c r="A2962" t="str">
        <f>"400789632"</f>
        <v>400789632</v>
      </c>
      <c r="B2962" t="str">
        <f>"EHPAD DE COUJON"</f>
        <v>EHPAD DE COUJON</v>
      </c>
      <c r="C2962" t="s">
        <v>70</v>
      </c>
    </row>
    <row r="2963" spans="1:3" x14ac:dyDescent="0.25">
      <c r="A2963" t="str">
        <f>"400789756"</f>
        <v>400789756</v>
      </c>
      <c r="B2963" t="str">
        <f>"EHPAD LOU COQ HARDIT"</f>
        <v>EHPAD LOU COQ HARDIT</v>
      </c>
      <c r="C2963" t="s">
        <v>70</v>
      </c>
    </row>
    <row r="2964" spans="1:3" x14ac:dyDescent="0.25">
      <c r="A2964" t="str">
        <f>"400789780"</f>
        <v>400789780</v>
      </c>
      <c r="B2964" t="str">
        <f>"EHPAD EUGENIE DESJOBERT"</f>
        <v>EHPAD EUGENIE DESJOBERT</v>
      </c>
      <c r="C2964" t="s">
        <v>70</v>
      </c>
    </row>
    <row r="2965" spans="1:3" x14ac:dyDescent="0.25">
      <c r="A2965" t="str">
        <f>"400789798"</f>
        <v>400789798</v>
      </c>
      <c r="B2965" t="str">
        <f>"EHPAD LA GRANDE LANDE"</f>
        <v>EHPAD LA GRANDE LANDE</v>
      </c>
      <c r="C2965" t="s">
        <v>70</v>
      </c>
    </row>
    <row r="2966" spans="1:3" x14ac:dyDescent="0.25">
      <c r="A2966" t="str">
        <f>"400791026"</f>
        <v>400791026</v>
      </c>
      <c r="B2966" t="str">
        <f>"EHPAD ALEX LIZAL"</f>
        <v>EHPAD ALEX LIZAL</v>
      </c>
      <c r="C2966" t="s">
        <v>70</v>
      </c>
    </row>
    <row r="2967" spans="1:3" x14ac:dyDescent="0.25">
      <c r="A2967" t="str">
        <f>"400791257"</f>
        <v>400791257</v>
      </c>
      <c r="B2967" t="str">
        <f>"EHPAD JEANNE MAULEON"</f>
        <v>EHPAD JEANNE MAULEON</v>
      </c>
      <c r="C2967" t="s">
        <v>70</v>
      </c>
    </row>
    <row r="2968" spans="1:3" x14ac:dyDescent="0.25">
      <c r="A2968" t="str">
        <f>"400791752"</f>
        <v>400791752</v>
      </c>
      <c r="B2968" t="str">
        <f>"EHPAD LUCIENNE MONTOT- PONSOLLE"</f>
        <v>EHPAD LUCIENNE MONTOT- PONSOLLE</v>
      </c>
      <c r="C2968" t="s">
        <v>70</v>
      </c>
    </row>
    <row r="2969" spans="1:3" x14ac:dyDescent="0.25">
      <c r="A2969" t="str">
        <f>"410000426"</f>
        <v>410000426</v>
      </c>
      <c r="B2969" t="str">
        <f>"EHPAD LE CHATEAU"</f>
        <v>EHPAD LE CHATEAU</v>
      </c>
      <c r="C2969" t="s">
        <v>63</v>
      </c>
    </row>
    <row r="2970" spans="1:3" x14ac:dyDescent="0.25">
      <c r="A2970" t="str">
        <f>"410000517"</f>
        <v>410000517</v>
      </c>
      <c r="B2970" t="str">
        <f>"EHPAD RESIDENCE LES CYGNES"</f>
        <v>EHPAD RESIDENCE LES CYGNES</v>
      </c>
      <c r="C2970" t="s">
        <v>63</v>
      </c>
    </row>
    <row r="2971" spans="1:3" x14ac:dyDescent="0.25">
      <c r="A2971" t="str">
        <f>"410000533"</f>
        <v>410000533</v>
      </c>
      <c r="B2971" t="str">
        <f>"EHPAD LA CAMPAGNARDE"</f>
        <v>EHPAD LA CAMPAGNARDE</v>
      </c>
      <c r="C2971" t="s">
        <v>63</v>
      </c>
    </row>
    <row r="2972" spans="1:3" x14ac:dyDescent="0.25">
      <c r="A2972" t="str">
        <f>"410002026"</f>
        <v>410002026</v>
      </c>
      <c r="B2972" t="str">
        <f>"EHPAD LES TOURTRAITS"</f>
        <v>EHPAD LES TOURTRAITS</v>
      </c>
      <c r="C2972" t="s">
        <v>63</v>
      </c>
    </row>
    <row r="2973" spans="1:3" x14ac:dyDescent="0.25">
      <c r="A2973" t="str">
        <f>"410002059"</f>
        <v>410002059</v>
      </c>
      <c r="B2973" t="str">
        <f>"EHPAD PINCONNIERE DU CH DE BLOIS"</f>
        <v>EHPAD PINCONNIERE DU CH DE BLOIS</v>
      </c>
      <c r="C2973" t="s">
        <v>63</v>
      </c>
    </row>
    <row r="2974" spans="1:3" x14ac:dyDescent="0.25">
      <c r="A2974" t="str">
        <f>"410002109"</f>
        <v>410002109</v>
      </c>
      <c r="B2974" t="str">
        <f>"EHPAD SIMON HEME"</f>
        <v>EHPAD SIMON HEME</v>
      </c>
      <c r="C2974" t="s">
        <v>63</v>
      </c>
    </row>
    <row r="2975" spans="1:3" x14ac:dyDescent="0.25">
      <c r="A2975" t="str">
        <f>"410002117"</f>
        <v>410002117</v>
      </c>
      <c r="B2975" t="str">
        <f>"EHPAD LES MARRONNIERS"</f>
        <v>EHPAD LES MARRONNIERS</v>
      </c>
      <c r="C2975" t="s">
        <v>63</v>
      </c>
    </row>
    <row r="2976" spans="1:3" x14ac:dyDescent="0.25">
      <c r="A2976" t="str">
        <f>"410002125"</f>
        <v>410002125</v>
      </c>
      <c r="B2976" t="str">
        <f>"EHPAD LA SAGESSE"</f>
        <v>EHPAD LA SAGESSE</v>
      </c>
      <c r="C2976" t="s">
        <v>63</v>
      </c>
    </row>
    <row r="2977" spans="1:3" x14ac:dyDescent="0.25">
      <c r="A2977" t="str">
        <f>"410002141"</f>
        <v>410002141</v>
      </c>
      <c r="B2977" t="str">
        <f>"EHPAD DE COINCES"</f>
        <v>EHPAD DE COINCES</v>
      </c>
      <c r="C2977" t="s">
        <v>63</v>
      </c>
    </row>
    <row r="2978" spans="1:3" x14ac:dyDescent="0.25">
      <c r="A2978" t="str">
        <f>"410002158"</f>
        <v>410002158</v>
      </c>
      <c r="B2978" t="str">
        <f>"EHPAD LEGUERE VIAU"</f>
        <v>EHPAD LEGUERE VIAU</v>
      </c>
      <c r="C2978" t="s">
        <v>63</v>
      </c>
    </row>
    <row r="2979" spans="1:3" x14ac:dyDescent="0.25">
      <c r="A2979" t="str">
        <f>"410002166"</f>
        <v>410002166</v>
      </c>
      <c r="B2979" t="str">
        <f>"EHPAD LA RESIDENCE DU BOURG"</f>
        <v>EHPAD LA RESIDENCE DU BOURG</v>
      </c>
      <c r="C2979" t="s">
        <v>63</v>
      </c>
    </row>
    <row r="2980" spans="1:3" x14ac:dyDescent="0.25">
      <c r="A2980" t="str">
        <f>"410002174"</f>
        <v>410002174</v>
      </c>
      <c r="B2980" t="str">
        <f>"EHPAD RESIDENCE DU FRESNE"</f>
        <v>EHPAD RESIDENCE DU FRESNE</v>
      </c>
      <c r="C2980" t="s">
        <v>63</v>
      </c>
    </row>
    <row r="2981" spans="1:3" x14ac:dyDescent="0.25">
      <c r="A2981" t="str">
        <f>"410002182"</f>
        <v>410002182</v>
      </c>
      <c r="B2981" t="str">
        <f>"EHPAD GRAND MONT-LE CONTROIS EN SOLOGN"</f>
        <v>EHPAD GRAND MONT-LE CONTROIS EN SOLOGN</v>
      </c>
      <c r="C2981" t="s">
        <v>63</v>
      </c>
    </row>
    <row r="2982" spans="1:3" x14ac:dyDescent="0.25">
      <c r="A2982" t="str">
        <f>"410002190"</f>
        <v>410002190</v>
      </c>
      <c r="B2982" t="str">
        <f>"EHPAD LA BONNE EURE"</f>
        <v>EHPAD LA BONNE EURE</v>
      </c>
      <c r="C2982" t="s">
        <v>63</v>
      </c>
    </row>
    <row r="2983" spans="1:3" x14ac:dyDescent="0.25">
      <c r="A2983" t="str">
        <f>"410002224"</f>
        <v>410002224</v>
      </c>
      <c r="B2983" t="str">
        <f>"EHPAD LA FAVORITE"</f>
        <v>EHPAD LA FAVORITE</v>
      </c>
      <c r="C2983" t="s">
        <v>63</v>
      </c>
    </row>
    <row r="2984" spans="1:3" x14ac:dyDescent="0.25">
      <c r="A2984" t="str">
        <f>"410002232"</f>
        <v>410002232</v>
      </c>
      <c r="B2984" t="str">
        <f>"EHPAD LES CEDRES"</f>
        <v>EHPAD LES CEDRES</v>
      </c>
      <c r="C2984" t="s">
        <v>63</v>
      </c>
    </row>
    <row r="2985" spans="1:3" x14ac:dyDescent="0.25">
      <c r="A2985" t="str">
        <f>"410003198"</f>
        <v>410003198</v>
      </c>
      <c r="B2985" t="str">
        <f>"EHPAD MAISONNEES DE SAINT FRANCOIS"</f>
        <v>EHPAD MAISONNEES DE SAINT FRANCOIS</v>
      </c>
      <c r="C2985" t="s">
        <v>63</v>
      </c>
    </row>
    <row r="2986" spans="1:3" x14ac:dyDescent="0.25">
      <c r="A2986" t="str">
        <f>"410003677"</f>
        <v>410003677</v>
      </c>
      <c r="B2986" t="str">
        <f>"EHPAD ORANGERIE &amp; OASIS DU CH DE BLOIS"</f>
        <v>EHPAD ORANGERIE &amp; OASIS DU CH DE BLOIS</v>
      </c>
      <c r="C2986" t="s">
        <v>63</v>
      </c>
    </row>
    <row r="2987" spans="1:3" x14ac:dyDescent="0.25">
      <c r="A2987" t="str">
        <f>"410003750"</f>
        <v>410003750</v>
      </c>
      <c r="B2987" t="str">
        <f>"EHPAD LES TILLEULS"</f>
        <v>EHPAD LES TILLEULS</v>
      </c>
      <c r="C2987" t="s">
        <v>63</v>
      </c>
    </row>
    <row r="2988" spans="1:3" x14ac:dyDescent="0.25">
      <c r="A2988" t="str">
        <f>"410003784"</f>
        <v>410003784</v>
      </c>
      <c r="B2988" t="str">
        <f>"EHPAD LES FLEURS DE SELLES"</f>
        <v>EHPAD LES FLEURS DE SELLES</v>
      </c>
      <c r="C2988" t="s">
        <v>63</v>
      </c>
    </row>
    <row r="2989" spans="1:3" x14ac:dyDescent="0.25">
      <c r="A2989" t="str">
        <f>"410003925"</f>
        <v>410003925</v>
      </c>
      <c r="B2989" t="str">
        <f>"EHPAD VAUX DE CHAUME"</f>
        <v>EHPAD VAUX DE CHAUME</v>
      </c>
      <c r="C2989" t="s">
        <v>63</v>
      </c>
    </row>
    <row r="2990" spans="1:3" x14ac:dyDescent="0.25">
      <c r="A2990" t="str">
        <f>"410003958"</f>
        <v>410003958</v>
      </c>
      <c r="B2990" t="str">
        <f>"EHPAD L ECUREUIL"</f>
        <v>EHPAD L ECUREUIL</v>
      </c>
      <c r="C2990" t="s">
        <v>63</v>
      </c>
    </row>
    <row r="2991" spans="1:3" x14ac:dyDescent="0.25">
      <c r="A2991" t="str">
        <f>"410004014"</f>
        <v>410004014</v>
      </c>
      <c r="B2991" t="str">
        <f>"EHPAD DOMAINE DE ROMORANTIN"</f>
        <v>EHPAD DOMAINE DE ROMORANTIN</v>
      </c>
      <c r="C2991" t="s">
        <v>63</v>
      </c>
    </row>
    <row r="2992" spans="1:3" x14ac:dyDescent="0.25">
      <c r="A2992" t="str">
        <f>"410004162"</f>
        <v>410004162</v>
      </c>
      <c r="B2992" t="str">
        <f>"EHPAD BON SECOURS"</f>
        <v>EHPAD BON SECOURS</v>
      </c>
      <c r="C2992" t="s">
        <v>63</v>
      </c>
    </row>
    <row r="2993" spans="1:3" x14ac:dyDescent="0.25">
      <c r="A2993" t="str">
        <f>"410004170"</f>
        <v>410004170</v>
      </c>
      <c r="B2993" t="str">
        <f>"EHPAD ANAIS DE LA VILLE AUX CLERCS"</f>
        <v>EHPAD ANAIS DE LA VILLE AUX CLERCS</v>
      </c>
      <c r="C2993" t="s">
        <v>63</v>
      </c>
    </row>
    <row r="2994" spans="1:3" x14ac:dyDescent="0.25">
      <c r="A2994" t="str">
        <f>"410004295"</f>
        <v>410004295</v>
      </c>
      <c r="B2994" t="str">
        <f>"EHPAD ANTOINE MOREAU"</f>
        <v>EHPAD ANTOINE MOREAU</v>
      </c>
      <c r="C2994" t="s">
        <v>63</v>
      </c>
    </row>
    <row r="2995" spans="1:3" x14ac:dyDescent="0.25">
      <c r="A2995" t="str">
        <f>"410004303"</f>
        <v>410004303</v>
      </c>
      <c r="B2995" t="str">
        <f>"EHPAD DU CH DE MONTRICHARD"</f>
        <v>EHPAD DU CH DE MONTRICHARD</v>
      </c>
      <c r="C2995" t="s">
        <v>63</v>
      </c>
    </row>
    <row r="2996" spans="1:3" x14ac:dyDescent="0.25">
      <c r="A2996" t="str">
        <f>"410004337"</f>
        <v>410004337</v>
      </c>
      <c r="B2996" t="str">
        <f>"EHPAD CHER SOLOGNE"</f>
        <v>EHPAD CHER SOLOGNE</v>
      </c>
      <c r="C2996" t="s">
        <v>63</v>
      </c>
    </row>
    <row r="2997" spans="1:3" x14ac:dyDescent="0.25">
      <c r="A2997" t="str">
        <f>"410004345"</f>
        <v>410004345</v>
      </c>
      <c r="B2997" t="str">
        <f>"EHPAD DE LA FORET"</f>
        <v>EHPAD DE LA FORET</v>
      </c>
      <c r="C2997" t="s">
        <v>63</v>
      </c>
    </row>
    <row r="2998" spans="1:3" x14ac:dyDescent="0.25">
      <c r="A2998" t="str">
        <f>"410004378"</f>
        <v>410004378</v>
      </c>
      <c r="B2998" t="str">
        <f>"EHPAD DU CH DE VENDOME CSAG"</f>
        <v>EHPAD DU CH DE VENDOME CSAG</v>
      </c>
      <c r="C2998" t="s">
        <v>63</v>
      </c>
    </row>
    <row r="2999" spans="1:3" x14ac:dyDescent="0.25">
      <c r="A2999" t="str">
        <f>"410004402"</f>
        <v>410004402</v>
      </c>
      <c r="B2999" t="str">
        <f>"EHPAD HESS"</f>
        <v>EHPAD HESS</v>
      </c>
      <c r="C2999" t="s">
        <v>63</v>
      </c>
    </row>
    <row r="3000" spans="1:3" x14ac:dyDescent="0.25">
      <c r="A3000" t="str">
        <f>"410004881"</f>
        <v>410004881</v>
      </c>
      <c r="B3000" t="str">
        <f>"EHPAD LE CLOS D EMISE"</f>
        <v>EHPAD LE CLOS D EMISE</v>
      </c>
      <c r="C3000" t="s">
        <v>63</v>
      </c>
    </row>
    <row r="3001" spans="1:3" x14ac:dyDescent="0.25">
      <c r="A3001" t="str">
        <f>"410004923"</f>
        <v>410004923</v>
      </c>
      <c r="B3001" t="str">
        <f>"EHPAD LA ROSELIERE DU CH DE BLOIS"</f>
        <v>EHPAD LA ROSELIERE DU CH DE BLOIS</v>
      </c>
      <c r="C3001" t="s">
        <v>63</v>
      </c>
    </row>
    <row r="3002" spans="1:3" x14ac:dyDescent="0.25">
      <c r="A3002" t="str">
        <f>"410005045"</f>
        <v>410005045</v>
      </c>
      <c r="B3002" t="str">
        <f>"EHPAD LA RESIDENCE DES TOURELLES"</f>
        <v>EHPAD LA RESIDENCE DES TOURELLES</v>
      </c>
      <c r="C3002" t="s">
        <v>63</v>
      </c>
    </row>
    <row r="3003" spans="1:3" x14ac:dyDescent="0.25">
      <c r="A3003" t="str">
        <f>"410005128"</f>
        <v>410005128</v>
      </c>
      <c r="B3003" t="str">
        <f>"EHPAD RESIDENCE DES CEDRES (RESIDALYA)"</f>
        <v>EHPAD RESIDENCE DES CEDRES (RESIDALYA)</v>
      </c>
      <c r="C3003" t="s">
        <v>63</v>
      </c>
    </row>
    <row r="3004" spans="1:3" x14ac:dyDescent="0.25">
      <c r="A3004" t="str">
        <f>"410005193"</f>
        <v>410005193</v>
      </c>
      <c r="B3004" t="str">
        <f>"EHPAD CLAUDE DE FRANCE"</f>
        <v>EHPAD CLAUDE DE FRANCE</v>
      </c>
      <c r="C3004" t="s">
        <v>63</v>
      </c>
    </row>
    <row r="3005" spans="1:3" x14ac:dyDescent="0.25">
      <c r="A3005" t="str">
        <f>"410005227"</f>
        <v>410005227</v>
      </c>
      <c r="B3005" t="str">
        <f>"EHPAD LES MESANGES"</f>
        <v>EHPAD LES MESANGES</v>
      </c>
      <c r="C3005" t="s">
        <v>63</v>
      </c>
    </row>
    <row r="3006" spans="1:3" x14ac:dyDescent="0.25">
      <c r="A3006" t="str">
        <f>"410005326"</f>
        <v>410005326</v>
      </c>
      <c r="B3006" t="str">
        <f>"EHPAD LE VAL FLEURI"</f>
        <v>EHPAD LE VAL FLEURI</v>
      </c>
      <c r="C3006" t="s">
        <v>63</v>
      </c>
    </row>
    <row r="3007" spans="1:3" x14ac:dyDescent="0.25">
      <c r="A3007" t="str">
        <f>"410005441"</f>
        <v>410005441</v>
      </c>
      <c r="B3007" t="str">
        <f>"EHPAD LES POMMERIS (RESIDALYA)"</f>
        <v>EHPAD LES POMMERIS (RESIDALYA)</v>
      </c>
      <c r="C3007" t="s">
        <v>63</v>
      </c>
    </row>
    <row r="3008" spans="1:3" x14ac:dyDescent="0.25">
      <c r="A3008" t="str">
        <f>"410005565"</f>
        <v>410005565</v>
      </c>
      <c r="B3008" t="str">
        <f>"EHPAD PICS VERTS, MIMOSAS, MAGNOLIAS"</f>
        <v>EHPAD PICS VERTS, MIMOSAS, MAGNOLIAS</v>
      </c>
      <c r="C3008" t="s">
        <v>63</v>
      </c>
    </row>
    <row r="3009" spans="1:3" x14ac:dyDescent="0.25">
      <c r="A3009" t="str">
        <f>"410005623"</f>
        <v>410005623</v>
      </c>
      <c r="B3009" t="str">
        <f>"EHPAD CENTRE RENCONTRE GENERATIONS"</f>
        <v>EHPAD CENTRE RENCONTRE GENERATIONS</v>
      </c>
      <c r="C3009" t="s">
        <v>63</v>
      </c>
    </row>
    <row r="3010" spans="1:3" x14ac:dyDescent="0.25">
      <c r="A3010" t="str">
        <f>"410005813"</f>
        <v>410005813</v>
      </c>
      <c r="B3010" t="str">
        <f>"EHPAD LES EPIS D OR"</f>
        <v>EHPAD LES EPIS D OR</v>
      </c>
      <c r="C3010" t="s">
        <v>63</v>
      </c>
    </row>
    <row r="3011" spans="1:3" x14ac:dyDescent="0.25">
      <c r="A3011" t="str">
        <f>"410005896"</f>
        <v>410005896</v>
      </c>
      <c r="B3011" t="str">
        <f>"EHPAD GEORGES DAUDU"</f>
        <v>EHPAD GEORGES DAUDU</v>
      </c>
      <c r="C3011" t="s">
        <v>63</v>
      </c>
    </row>
    <row r="3012" spans="1:3" x14ac:dyDescent="0.25">
      <c r="A3012" t="str">
        <f>"410005987"</f>
        <v>410005987</v>
      </c>
      <c r="B3012" t="str">
        <f>"EHPAD LES JARDINS D'IROISE ST LAURENT"</f>
        <v>EHPAD LES JARDINS D'IROISE ST LAURENT</v>
      </c>
      <c r="C3012" t="s">
        <v>63</v>
      </c>
    </row>
    <row r="3013" spans="1:3" x14ac:dyDescent="0.25">
      <c r="A3013" t="str">
        <f>"410006027"</f>
        <v>410006027</v>
      </c>
      <c r="B3013" t="str">
        <f>"EHPAD LES VILLAS D HERVE"</f>
        <v>EHPAD LES VILLAS D HERVE</v>
      </c>
      <c r="C3013" t="s">
        <v>63</v>
      </c>
    </row>
    <row r="3014" spans="1:3" x14ac:dyDescent="0.25">
      <c r="A3014" t="str">
        <f>"410006043"</f>
        <v>410006043</v>
      </c>
      <c r="B3014" t="str">
        <f>"PUV CHARLES DE BLOIS OU DU CLERGE"</f>
        <v>PUV CHARLES DE BLOIS OU DU CLERGE</v>
      </c>
      <c r="C3014" t="s">
        <v>63</v>
      </c>
    </row>
    <row r="3015" spans="1:3" x14ac:dyDescent="0.25">
      <c r="A3015" t="str">
        <f>"410006191"</f>
        <v>410006191</v>
      </c>
      <c r="B3015" t="str">
        <f>"EHPAD RESIDENCE SAVIGNY (ORPEA)"</f>
        <v>EHPAD RESIDENCE SAVIGNY (ORPEA)</v>
      </c>
      <c r="C3015" t="s">
        <v>63</v>
      </c>
    </row>
    <row r="3016" spans="1:3" x14ac:dyDescent="0.25">
      <c r="A3016" t="str">
        <f>"410006878"</f>
        <v>410006878</v>
      </c>
      <c r="B3016" t="str">
        <f>"EHPAD L OREE DES PINS"</f>
        <v>EHPAD L OREE DES PINS</v>
      </c>
      <c r="C3016" t="s">
        <v>63</v>
      </c>
    </row>
    <row r="3017" spans="1:3" x14ac:dyDescent="0.25">
      <c r="A3017" t="str">
        <f>"410007983"</f>
        <v>410007983</v>
      </c>
      <c r="B3017" t="str">
        <f>"EHPAD BOIS DE LA CISSE PRES FLEURIS"</f>
        <v>EHPAD BOIS DE LA CISSE PRES FLEURIS</v>
      </c>
      <c r="C3017" t="s">
        <v>63</v>
      </c>
    </row>
    <row r="3018" spans="1:3" x14ac:dyDescent="0.25">
      <c r="A3018" t="str">
        <f>"410008221"</f>
        <v>410008221</v>
      </c>
      <c r="B3018" t="str">
        <f>"EHPAD LA CLAIRIERE DES COUTIS"</f>
        <v>EHPAD LA CLAIRIERE DES COUTIS</v>
      </c>
      <c r="C3018" t="s">
        <v>63</v>
      </c>
    </row>
    <row r="3019" spans="1:3" x14ac:dyDescent="0.25">
      <c r="A3019" t="str">
        <f>"410008254"</f>
        <v>410008254</v>
      </c>
      <c r="B3019" t="str">
        <f>"EHPAD LES BOIS DE LA CISSE BOIS BLANCS"</f>
        <v>EHPAD LES BOIS DE LA CISSE BOIS BLANCS</v>
      </c>
      <c r="C3019" t="s">
        <v>63</v>
      </c>
    </row>
    <row r="3020" spans="1:3" x14ac:dyDescent="0.25">
      <c r="A3020" t="str">
        <f>"420000747"</f>
        <v>420000747</v>
      </c>
      <c r="B3020" t="str">
        <f>"EHPAD MELLET MANDARD"</f>
        <v>EHPAD MELLET MANDARD</v>
      </c>
      <c r="C3020" t="s">
        <v>61</v>
      </c>
    </row>
    <row r="3021" spans="1:3" x14ac:dyDescent="0.25">
      <c r="A3021" t="str">
        <f>"420002578"</f>
        <v>420002578</v>
      </c>
      <c r="B3021" t="str">
        <f>"KORIAN LA MOUNARDIERE"</f>
        <v>KORIAN LA MOUNARDIERE</v>
      </c>
      <c r="C3021" t="s">
        <v>61</v>
      </c>
    </row>
    <row r="3022" spans="1:3" x14ac:dyDescent="0.25">
      <c r="A3022" t="str">
        <f>"420003659"</f>
        <v>420003659</v>
      </c>
      <c r="B3022" t="str">
        <f>"KORIAN L'ASTREE"</f>
        <v>KORIAN L'ASTREE</v>
      </c>
      <c r="C3022" t="s">
        <v>61</v>
      </c>
    </row>
    <row r="3023" spans="1:3" x14ac:dyDescent="0.25">
      <c r="A3023" t="str">
        <f>"420004509"</f>
        <v>420004509</v>
      </c>
      <c r="B3023" t="str">
        <f>"MAISON DE RETRAITE DOMAINE DE MARIE"</f>
        <v>MAISON DE RETRAITE DOMAINE DE MARIE</v>
      </c>
      <c r="C3023" t="s">
        <v>61</v>
      </c>
    </row>
    <row r="3024" spans="1:3" x14ac:dyDescent="0.25">
      <c r="A3024" t="str">
        <f>"420006108"</f>
        <v>420006108</v>
      </c>
      <c r="B3024" t="str">
        <f>"RESIDENCE MUTUALISTE LA CERISAIE"</f>
        <v>RESIDENCE MUTUALISTE LA CERISAIE</v>
      </c>
      <c r="C3024" t="s">
        <v>61</v>
      </c>
    </row>
    <row r="3025" spans="1:3" x14ac:dyDescent="0.25">
      <c r="A3025" t="str">
        <f>"420006249"</f>
        <v>420006249</v>
      </c>
      <c r="B3025" t="str">
        <f>"EHPAD BALAY"</f>
        <v>EHPAD BALAY</v>
      </c>
      <c r="C3025" t="s">
        <v>61</v>
      </c>
    </row>
    <row r="3026" spans="1:3" x14ac:dyDescent="0.25">
      <c r="A3026" t="str">
        <f>"420006439"</f>
        <v>420006439</v>
      </c>
      <c r="B3026" t="str">
        <f>"LIEU DE VIE L'OASIS"</f>
        <v>LIEU DE VIE L'OASIS</v>
      </c>
      <c r="C3026" t="s">
        <v>61</v>
      </c>
    </row>
    <row r="3027" spans="1:3" x14ac:dyDescent="0.25">
      <c r="A3027" t="str">
        <f>"420007288"</f>
        <v>420007288</v>
      </c>
      <c r="B3027" t="str">
        <f>"EHPAD CH G.CLAUDINON"</f>
        <v>EHPAD CH G.CLAUDINON</v>
      </c>
      <c r="C3027" t="s">
        <v>61</v>
      </c>
    </row>
    <row r="3028" spans="1:3" x14ac:dyDescent="0.25">
      <c r="A3028" t="str">
        <f>"420008948"</f>
        <v>420008948</v>
      </c>
      <c r="B3028" t="str">
        <f>"EHPAD LA ROSERAIE"</f>
        <v>EHPAD LA ROSERAIE</v>
      </c>
      <c r="C3028" t="s">
        <v>61</v>
      </c>
    </row>
    <row r="3029" spans="1:3" x14ac:dyDescent="0.25">
      <c r="A3029" t="str">
        <f>"420009029"</f>
        <v>420009029</v>
      </c>
      <c r="B3029" t="str">
        <f>"RESIDENCE BEL HORIZON"</f>
        <v>RESIDENCE BEL HORIZON</v>
      </c>
      <c r="C3029" t="s">
        <v>61</v>
      </c>
    </row>
    <row r="3030" spans="1:3" x14ac:dyDescent="0.25">
      <c r="A3030" t="str">
        <f>"420009839"</f>
        <v>420009839</v>
      </c>
      <c r="B3030" t="str">
        <f>"RESIDENCE LES RIVES D'OR"</f>
        <v>RESIDENCE LES RIVES D'OR</v>
      </c>
      <c r="C3030" t="s">
        <v>61</v>
      </c>
    </row>
    <row r="3031" spans="1:3" x14ac:dyDescent="0.25">
      <c r="A3031" t="str">
        <f>"420009888"</f>
        <v>420009888</v>
      </c>
      <c r="B3031" t="str">
        <f>"EHPAD KORIAN VILLA D'ALBON"</f>
        <v>EHPAD KORIAN VILLA D'ALBON</v>
      </c>
      <c r="C3031" t="s">
        <v>61</v>
      </c>
    </row>
    <row r="3032" spans="1:3" x14ac:dyDescent="0.25">
      <c r="A3032" t="str">
        <f>"420009938"</f>
        <v>420009938</v>
      </c>
      <c r="B3032" t="str">
        <f>"EHPAD  LA MAISON D'ANNIE"</f>
        <v>EHPAD  LA MAISON D'ANNIE</v>
      </c>
      <c r="C3032" t="s">
        <v>61</v>
      </c>
    </row>
    <row r="3033" spans="1:3" x14ac:dyDescent="0.25">
      <c r="A3033" t="str">
        <f>"420010225"</f>
        <v>420010225</v>
      </c>
      <c r="B3033" t="str">
        <f>"EHPAD L'HERMITAGE"</f>
        <v>EHPAD L'HERMITAGE</v>
      </c>
      <c r="C3033" t="s">
        <v>61</v>
      </c>
    </row>
    <row r="3034" spans="1:3" x14ac:dyDescent="0.25">
      <c r="A3034" t="str">
        <f>"420010688"</f>
        <v>420010688</v>
      </c>
      <c r="B3034" t="str">
        <f>"EHPAD DU CH LE CORBUSIER FIRMINY"</f>
        <v>EHPAD DU CH LE CORBUSIER FIRMINY</v>
      </c>
      <c r="C3034" t="s">
        <v>61</v>
      </c>
    </row>
    <row r="3035" spans="1:3" x14ac:dyDescent="0.25">
      <c r="A3035" t="str">
        <f>"420010738"</f>
        <v>420010738</v>
      </c>
      <c r="B3035" t="str">
        <f>"UPAD - CH DE ROANNE"</f>
        <v>UPAD - CH DE ROANNE</v>
      </c>
      <c r="C3035" t="s">
        <v>61</v>
      </c>
    </row>
    <row r="3036" spans="1:3" x14ac:dyDescent="0.25">
      <c r="A3036" t="str">
        <f>"420011645"</f>
        <v>420011645</v>
      </c>
      <c r="B3036" t="str">
        <f>"RESIDENCE KORIAN BERGSON"</f>
        <v>RESIDENCE KORIAN BERGSON</v>
      </c>
      <c r="C3036" t="s">
        <v>61</v>
      </c>
    </row>
    <row r="3037" spans="1:3" x14ac:dyDescent="0.25">
      <c r="A3037" t="str">
        <f>"420011678"</f>
        <v>420011678</v>
      </c>
      <c r="B3037" t="str">
        <f>"PLENITUDE ADMR"</f>
        <v>PLENITUDE ADMR</v>
      </c>
      <c r="C3037" t="s">
        <v>61</v>
      </c>
    </row>
    <row r="3038" spans="1:3" x14ac:dyDescent="0.25">
      <c r="A3038" t="str">
        <f>"420011702"</f>
        <v>420011702</v>
      </c>
      <c r="B3038" t="str">
        <f>"RESIDENCE LES JARDINS DE BESSAT"</f>
        <v>RESIDENCE LES JARDINS DE BESSAT</v>
      </c>
      <c r="C3038" t="s">
        <v>61</v>
      </c>
    </row>
    <row r="3039" spans="1:3" x14ac:dyDescent="0.25">
      <c r="A3039" t="str">
        <f>"420011769"</f>
        <v>420011769</v>
      </c>
      <c r="B3039" t="str">
        <f>"EHPAD SAINTE ELISABETH"</f>
        <v>EHPAD SAINTE ELISABETH</v>
      </c>
      <c r="C3039" t="s">
        <v>61</v>
      </c>
    </row>
    <row r="3040" spans="1:3" x14ac:dyDescent="0.25">
      <c r="A3040" t="str">
        <f>"420012403"</f>
        <v>420012403</v>
      </c>
      <c r="B3040" t="str">
        <f>"RESIDENCE MUTUALISTE BELLEVUE"</f>
        <v>RESIDENCE MUTUALISTE BELLEVUE</v>
      </c>
      <c r="C3040" t="s">
        <v>61</v>
      </c>
    </row>
    <row r="3041" spans="1:3" x14ac:dyDescent="0.25">
      <c r="A3041" t="str">
        <f>"420013997"</f>
        <v>420013997</v>
      </c>
      <c r="B3041" t="str">
        <f>"EHPAD STEPHANE HESSEL"</f>
        <v>EHPAD STEPHANE HESSEL</v>
      </c>
      <c r="C3041" t="s">
        <v>61</v>
      </c>
    </row>
    <row r="3042" spans="1:3" x14ac:dyDescent="0.25">
      <c r="A3042" t="str">
        <f>"420014789"</f>
        <v>420014789</v>
      </c>
      <c r="B3042" t="str">
        <f>"EHPAD SAINT PAUL"</f>
        <v>EHPAD SAINT PAUL</v>
      </c>
      <c r="C3042" t="s">
        <v>61</v>
      </c>
    </row>
    <row r="3043" spans="1:3" x14ac:dyDescent="0.25">
      <c r="A3043" t="str">
        <f>"420015042"</f>
        <v>420015042</v>
      </c>
      <c r="B3043" t="str">
        <f>"EHPAD CITE DES AINES"</f>
        <v>EHPAD CITE DES AINES</v>
      </c>
      <c r="C3043" t="s">
        <v>61</v>
      </c>
    </row>
    <row r="3044" spans="1:3" x14ac:dyDescent="0.25">
      <c r="A3044" t="str">
        <f>"420015828"</f>
        <v>420015828</v>
      </c>
      <c r="B3044" t="str">
        <f>"EHPAD PAYS DE GIER SITE OREE DU PILAT"</f>
        <v>EHPAD PAYS DE GIER SITE OREE DU PILAT</v>
      </c>
      <c r="C3044" t="s">
        <v>61</v>
      </c>
    </row>
    <row r="3045" spans="1:3" x14ac:dyDescent="0.25">
      <c r="A3045" t="str">
        <f>"420780728"</f>
        <v>420780728</v>
      </c>
      <c r="B3045" t="str">
        <f>"EHPAD DE BOURG ARGENTAL"</f>
        <v>EHPAD DE BOURG ARGENTAL</v>
      </c>
      <c r="C3045" t="s">
        <v>61</v>
      </c>
    </row>
    <row r="3046" spans="1:3" x14ac:dyDescent="0.25">
      <c r="A3046" t="str">
        <f>"420780769"</f>
        <v>420780769</v>
      </c>
      <c r="B3046" t="str">
        <f>"EHPAD MRL"</f>
        <v>EHPAD MRL</v>
      </c>
      <c r="C3046" t="s">
        <v>61</v>
      </c>
    </row>
    <row r="3047" spans="1:3" x14ac:dyDescent="0.25">
      <c r="A3047" t="str">
        <f>"420781775"</f>
        <v>420781775</v>
      </c>
      <c r="B3047" t="str">
        <f>"EHPAD LES TERRASSES"</f>
        <v>EHPAD LES TERRASSES</v>
      </c>
      <c r="C3047" t="s">
        <v>61</v>
      </c>
    </row>
    <row r="3048" spans="1:3" x14ac:dyDescent="0.25">
      <c r="A3048" t="str">
        <f>"420781783"</f>
        <v>420781783</v>
      </c>
      <c r="B3048" t="str">
        <f>"EHPAD DU PAYS DE BELMONT"</f>
        <v>EHPAD DU PAYS DE BELMONT</v>
      </c>
      <c r="C3048" t="s">
        <v>61</v>
      </c>
    </row>
    <row r="3049" spans="1:3" x14ac:dyDescent="0.25">
      <c r="A3049" t="str">
        <f>"420781809"</f>
        <v>420781809</v>
      </c>
      <c r="B3049" t="str">
        <f>"EHPAD DE CHAMPDIEU"</f>
        <v>EHPAD DE CHAMPDIEU</v>
      </c>
      <c r="C3049" t="s">
        <v>61</v>
      </c>
    </row>
    <row r="3050" spans="1:3" x14ac:dyDescent="0.25">
      <c r="A3050" t="str">
        <f>"420781817"</f>
        <v>420781817</v>
      </c>
      <c r="B3050" t="str">
        <f>"EHPAD LE PARC"</f>
        <v>EHPAD LE PARC</v>
      </c>
      <c r="C3050" t="s">
        <v>61</v>
      </c>
    </row>
    <row r="3051" spans="1:3" x14ac:dyDescent="0.25">
      <c r="A3051" t="str">
        <f>"420781825"</f>
        <v>420781825</v>
      </c>
      <c r="B3051" t="str">
        <f>"EHPAD LES HIRONDELLES"</f>
        <v>EHPAD LES HIRONDELLES</v>
      </c>
      <c r="C3051" t="s">
        <v>61</v>
      </c>
    </row>
    <row r="3052" spans="1:3" x14ac:dyDescent="0.25">
      <c r="A3052" t="str">
        <f>"420781833"</f>
        <v>420781833</v>
      </c>
      <c r="B3052" t="str">
        <f>"EHPAD LA PRANIERE"</f>
        <v>EHPAD LA PRANIERE</v>
      </c>
      <c r="C3052" t="s">
        <v>61</v>
      </c>
    </row>
    <row r="3053" spans="1:3" x14ac:dyDescent="0.25">
      <c r="A3053" t="str">
        <f>"420781841"</f>
        <v>420781841</v>
      </c>
      <c r="B3053" t="str">
        <f>"EHPAD DU PAYS DE BELMONT - LA GRESLE"</f>
        <v>EHPAD DU PAYS DE BELMONT - LA GRESLE</v>
      </c>
      <c r="C3053" t="s">
        <v>61</v>
      </c>
    </row>
    <row r="3054" spans="1:3" x14ac:dyDescent="0.25">
      <c r="A3054" t="str">
        <f>"420781858"</f>
        <v>420781858</v>
      </c>
      <c r="B3054" t="str">
        <f>"EHPAD ENTRE CHAMPS ET FORETS"</f>
        <v>EHPAD ENTRE CHAMPS ET FORETS</v>
      </c>
      <c r="C3054" t="s">
        <v>61</v>
      </c>
    </row>
    <row r="3055" spans="1:3" x14ac:dyDescent="0.25">
      <c r="A3055" t="str">
        <f>"420781866"</f>
        <v>420781866</v>
      </c>
      <c r="B3055" t="str">
        <f>"EHPAD LES FLORALIES"</f>
        <v>EHPAD LES FLORALIES</v>
      </c>
      <c r="C3055" t="s">
        <v>61</v>
      </c>
    </row>
    <row r="3056" spans="1:3" x14ac:dyDescent="0.25">
      <c r="A3056" t="str">
        <f>"420781874"</f>
        <v>420781874</v>
      </c>
      <c r="B3056" t="str">
        <f>"EHPAD DE NEULISE"</f>
        <v>EHPAD DE NEULISE</v>
      </c>
      <c r="C3056" t="s">
        <v>61</v>
      </c>
    </row>
    <row r="3057" spans="1:3" x14ac:dyDescent="0.25">
      <c r="A3057" t="str">
        <f>"420781882"</f>
        <v>420781882</v>
      </c>
      <c r="B3057" t="str">
        <f>"EHPAD DU RIEU PARENT"</f>
        <v>EHPAD DU RIEU PARENT</v>
      </c>
      <c r="C3057" t="s">
        <v>61</v>
      </c>
    </row>
    <row r="3058" spans="1:3" x14ac:dyDescent="0.25">
      <c r="A3058" t="str">
        <f>"420781890"</f>
        <v>420781890</v>
      </c>
      <c r="B3058" t="str">
        <f>"EHPAD FONDATION GRIMAUD"</f>
        <v>EHPAD FONDATION GRIMAUD</v>
      </c>
      <c r="C3058" t="s">
        <v>61</v>
      </c>
    </row>
    <row r="3059" spans="1:3" x14ac:dyDescent="0.25">
      <c r="A3059" t="str">
        <f>"420781908"</f>
        <v>420781908</v>
      </c>
      <c r="B3059" t="str">
        <f>"EHPAD LE FIL D'OR"</f>
        <v>EHPAD LE FIL D'OR</v>
      </c>
      <c r="C3059" t="s">
        <v>61</v>
      </c>
    </row>
    <row r="3060" spans="1:3" x14ac:dyDescent="0.25">
      <c r="A3060" t="str">
        <f>"420781916"</f>
        <v>420781916</v>
      </c>
      <c r="B3060" t="str">
        <f>"MAISON DE LA FORET"</f>
        <v>MAISON DE LA FORET</v>
      </c>
      <c r="C3060" t="s">
        <v>61</v>
      </c>
    </row>
    <row r="3061" spans="1:3" x14ac:dyDescent="0.25">
      <c r="A3061" t="str">
        <f>"420781924"</f>
        <v>420781924</v>
      </c>
      <c r="B3061" t="str">
        <f>"EHPAD LE BEL AUTOMNE"</f>
        <v>EHPAD LE BEL AUTOMNE</v>
      </c>
      <c r="C3061" t="s">
        <v>61</v>
      </c>
    </row>
    <row r="3062" spans="1:3" x14ac:dyDescent="0.25">
      <c r="A3062" t="str">
        <f>"420781932"</f>
        <v>420781932</v>
      </c>
      <c r="B3062" t="str">
        <f>"EHPAD LES GENETS D'OR"</f>
        <v>EHPAD LES GENETS D'OR</v>
      </c>
      <c r="C3062" t="s">
        <v>61</v>
      </c>
    </row>
    <row r="3063" spans="1:3" x14ac:dyDescent="0.25">
      <c r="A3063" t="str">
        <f>"420781940"</f>
        <v>420781940</v>
      </c>
      <c r="B3063" t="str">
        <f>"M.R. ST GERMAIN LAVAL"</f>
        <v>M.R. ST GERMAIN LAVAL</v>
      </c>
      <c r="C3063" t="s">
        <v>61</v>
      </c>
    </row>
    <row r="3064" spans="1:3" x14ac:dyDescent="0.25">
      <c r="A3064" t="str">
        <f>"420781957"</f>
        <v>420781957</v>
      </c>
      <c r="B3064" t="str">
        <f>"M.R. DE ST HEAND"</f>
        <v>M.R. DE ST HEAND</v>
      </c>
      <c r="C3064" t="s">
        <v>61</v>
      </c>
    </row>
    <row r="3065" spans="1:3" x14ac:dyDescent="0.25">
      <c r="A3065" t="str">
        <f>"420781965"</f>
        <v>420781965</v>
      </c>
      <c r="B3065" t="str">
        <f>"M.R 'LE VAL DU TERNAY'"</f>
        <v>M.R 'LE VAL DU TERNAY'</v>
      </c>
      <c r="C3065" t="s">
        <v>61</v>
      </c>
    </row>
    <row r="3066" spans="1:3" x14ac:dyDescent="0.25">
      <c r="A3066" t="str">
        <f>"420781973"</f>
        <v>420781973</v>
      </c>
      <c r="B3066" t="str">
        <f>"EHPAD DU PAYS D'URFE"</f>
        <v>EHPAD DU PAYS D'URFE</v>
      </c>
      <c r="C3066" t="s">
        <v>61</v>
      </c>
    </row>
    <row r="3067" spans="1:3" x14ac:dyDescent="0.25">
      <c r="A3067" t="str">
        <f>"420781999"</f>
        <v>420781999</v>
      </c>
      <c r="B3067" t="str">
        <f>"EHPAD SAINT LOUIS"</f>
        <v>EHPAD SAINT LOUIS</v>
      </c>
      <c r="C3067" t="s">
        <v>61</v>
      </c>
    </row>
    <row r="3068" spans="1:3" x14ac:dyDescent="0.25">
      <c r="A3068" t="str">
        <f>"420782005"</f>
        <v>420782005</v>
      </c>
      <c r="B3068" t="str">
        <f>"EHPAD MAISON D ACCUEIL"</f>
        <v>EHPAD MAISON D ACCUEIL</v>
      </c>
      <c r="C3068" t="s">
        <v>61</v>
      </c>
    </row>
    <row r="3069" spans="1:3" x14ac:dyDescent="0.25">
      <c r="A3069" t="str">
        <f>"420782021"</f>
        <v>420782021</v>
      </c>
      <c r="B3069" t="str">
        <f>"EHPAD LE CLOITRE"</f>
        <v>EHPAD LE CLOITRE</v>
      </c>
      <c r="C3069" t="s">
        <v>61</v>
      </c>
    </row>
    <row r="3070" spans="1:3" x14ac:dyDescent="0.25">
      <c r="A3070" t="str">
        <f>"420782039"</f>
        <v>420782039</v>
      </c>
      <c r="B3070" t="str">
        <f>"M.R. D'USSON EN FOREZ"</f>
        <v>M.R. D'USSON EN FOREZ</v>
      </c>
      <c r="C3070" t="s">
        <v>61</v>
      </c>
    </row>
    <row r="3071" spans="1:3" x14ac:dyDescent="0.25">
      <c r="A3071" t="str">
        <f>"420782617"</f>
        <v>420782617</v>
      </c>
      <c r="B3071" t="str">
        <f>"EHPAD MARIE ROMIER"</f>
        <v>EHPAD MARIE ROMIER</v>
      </c>
      <c r="C3071" t="s">
        <v>61</v>
      </c>
    </row>
    <row r="3072" spans="1:3" x14ac:dyDescent="0.25">
      <c r="A3072" t="str">
        <f>"420782625"</f>
        <v>420782625</v>
      </c>
      <c r="B3072" t="str">
        <f>"EHPAD LA SARRAZINIERE"</f>
        <v>EHPAD LA SARRAZINIERE</v>
      </c>
      <c r="C3072" t="s">
        <v>61</v>
      </c>
    </row>
    <row r="3073" spans="1:3" x14ac:dyDescent="0.25">
      <c r="A3073" t="str">
        <f>"420782633"</f>
        <v>420782633</v>
      </c>
      <c r="B3073" t="str">
        <f>"EHPAD SAINT VINCENT DE PAUL"</f>
        <v>EHPAD SAINT VINCENT DE PAUL</v>
      </c>
      <c r="C3073" t="s">
        <v>61</v>
      </c>
    </row>
    <row r="3074" spans="1:3" x14ac:dyDescent="0.25">
      <c r="A3074" t="str">
        <f>"420782658"</f>
        <v>420782658</v>
      </c>
      <c r="B3074" t="str">
        <f>"RESIDENCE LA TOUR DES CEDRES"</f>
        <v>RESIDENCE LA TOUR DES CEDRES</v>
      </c>
      <c r="C3074" t="s">
        <v>61</v>
      </c>
    </row>
    <row r="3075" spans="1:3" x14ac:dyDescent="0.25">
      <c r="A3075" t="str">
        <f>"420783664"</f>
        <v>420783664</v>
      </c>
      <c r="B3075" t="str">
        <f>"M.R 'L'ETOILE DU SOIR'"</f>
        <v>M.R 'L'ETOILE DU SOIR'</v>
      </c>
      <c r="C3075" t="s">
        <v>61</v>
      </c>
    </row>
    <row r="3076" spans="1:3" x14ac:dyDescent="0.25">
      <c r="A3076" t="str">
        <f>"420783979"</f>
        <v>420783979</v>
      </c>
      <c r="B3076" t="str">
        <f>"EHPAD JEAN MONTELLIER"</f>
        <v>EHPAD JEAN MONTELLIER</v>
      </c>
      <c r="C3076" t="s">
        <v>61</v>
      </c>
    </row>
    <row r="3077" spans="1:3" x14ac:dyDescent="0.25">
      <c r="A3077" t="str">
        <f>"420783987"</f>
        <v>420783987</v>
      </c>
      <c r="B3077" t="str">
        <f>"EHPAD ACCUEIL AUX PERSONNES AGEES"</f>
        <v>EHPAD ACCUEIL AUX PERSONNES AGEES</v>
      </c>
      <c r="C3077" t="s">
        <v>61</v>
      </c>
    </row>
    <row r="3078" spans="1:3" x14ac:dyDescent="0.25">
      <c r="A3078" t="str">
        <f>"420783995"</f>
        <v>420783995</v>
      </c>
      <c r="B3078" t="str">
        <f>"M.R LE CHASSEUR"</f>
        <v>M.R LE CHASSEUR</v>
      </c>
      <c r="C3078" t="s">
        <v>61</v>
      </c>
    </row>
    <row r="3079" spans="1:3" x14ac:dyDescent="0.25">
      <c r="A3079" t="str">
        <f>"420784001"</f>
        <v>420784001</v>
      </c>
      <c r="B3079" t="str">
        <f>"EHPAD NOTRE DAME DE LAY"</f>
        <v>EHPAD NOTRE DAME DE LAY</v>
      </c>
      <c r="C3079" t="s">
        <v>61</v>
      </c>
    </row>
    <row r="3080" spans="1:3" x14ac:dyDescent="0.25">
      <c r="A3080" t="str">
        <f>"420784019"</f>
        <v>420784019</v>
      </c>
      <c r="B3080" t="str">
        <f>"RESIDENCE MUTUALISTE BERNADETTE"</f>
        <v>RESIDENCE MUTUALISTE BERNADETTE</v>
      </c>
      <c r="C3080" t="s">
        <v>61</v>
      </c>
    </row>
    <row r="3081" spans="1:3" x14ac:dyDescent="0.25">
      <c r="A3081" t="str">
        <f>"420784027"</f>
        <v>420784027</v>
      </c>
      <c r="B3081" t="str">
        <f>"RESIDENCE LE RIVAGE"</f>
        <v>RESIDENCE LE RIVAGE</v>
      </c>
      <c r="C3081" t="s">
        <v>61</v>
      </c>
    </row>
    <row r="3082" spans="1:3" x14ac:dyDescent="0.25">
      <c r="A3082" t="str">
        <f>"420784043"</f>
        <v>420784043</v>
      </c>
      <c r="B3082" t="str">
        <f>"MAISON DE RETRAITE LA VERRERIE"</f>
        <v>MAISON DE RETRAITE LA VERRERIE</v>
      </c>
      <c r="C3082" t="s">
        <v>61</v>
      </c>
    </row>
    <row r="3083" spans="1:3" x14ac:dyDescent="0.25">
      <c r="A3083" t="str">
        <f>"420784050"</f>
        <v>420784050</v>
      </c>
      <c r="B3083" t="str">
        <f>"EHPAD NOTRE MAISON ROANNE"</f>
        <v>EHPAD NOTRE MAISON ROANNE</v>
      </c>
      <c r="C3083" t="s">
        <v>61</v>
      </c>
    </row>
    <row r="3084" spans="1:3" x14ac:dyDescent="0.25">
      <c r="A3084" t="str">
        <f>"420784092"</f>
        <v>420784092</v>
      </c>
      <c r="B3084" t="str">
        <f>"MAISON DE RETRAITE LAMARTINE"</f>
        <v>MAISON DE RETRAITE LAMARTINE</v>
      </c>
      <c r="C3084" t="s">
        <v>61</v>
      </c>
    </row>
    <row r="3085" spans="1:3" x14ac:dyDescent="0.25">
      <c r="A3085" t="str">
        <f>"420784100"</f>
        <v>420784100</v>
      </c>
      <c r="B3085" t="str">
        <f>"RESIDENCE CROIX DE L'ORME"</f>
        <v>RESIDENCE CROIX DE L'ORME</v>
      </c>
      <c r="C3085" t="s">
        <v>61</v>
      </c>
    </row>
    <row r="3086" spans="1:3" x14ac:dyDescent="0.25">
      <c r="A3086" t="str">
        <f>"420784175"</f>
        <v>420784175</v>
      </c>
      <c r="B3086" t="str">
        <f>"RESIDENCE LES CEDRES"</f>
        <v>RESIDENCE LES CEDRES</v>
      </c>
      <c r="C3086" t="s">
        <v>61</v>
      </c>
    </row>
    <row r="3087" spans="1:3" x14ac:dyDescent="0.25">
      <c r="A3087" t="str">
        <f>"420784282"</f>
        <v>420784282</v>
      </c>
      <c r="B3087" t="str">
        <f>"RESIDENCE LE BUISSON"</f>
        <v>RESIDENCE LE BUISSON</v>
      </c>
      <c r="C3087" t="s">
        <v>61</v>
      </c>
    </row>
    <row r="3088" spans="1:3" x14ac:dyDescent="0.25">
      <c r="A3088" t="str">
        <f>"420784365"</f>
        <v>420784365</v>
      </c>
      <c r="B3088" t="str">
        <f>"MAISON DE RETRAITE AU FIL DE SOIE"</f>
        <v>MAISON DE RETRAITE AU FIL DE SOIE</v>
      </c>
      <c r="C3088" t="s">
        <v>61</v>
      </c>
    </row>
    <row r="3089" spans="1:3" x14ac:dyDescent="0.25">
      <c r="A3089" t="str">
        <f>"420784373"</f>
        <v>420784373</v>
      </c>
      <c r="B3089" t="str">
        <f>"EHPAD LES BLEUETS"</f>
        <v>EHPAD LES BLEUETS</v>
      </c>
      <c r="C3089" t="s">
        <v>61</v>
      </c>
    </row>
    <row r="3090" spans="1:3" x14ac:dyDescent="0.25">
      <c r="A3090" t="str">
        <f>"420784381"</f>
        <v>420784381</v>
      </c>
      <c r="B3090" t="str">
        <f>"EHPAD LA PROVIDENCE"</f>
        <v>EHPAD LA PROVIDENCE</v>
      </c>
      <c r="C3090" t="s">
        <v>61</v>
      </c>
    </row>
    <row r="3091" spans="1:3" x14ac:dyDescent="0.25">
      <c r="A3091" t="str">
        <f>"420784605"</f>
        <v>420784605</v>
      </c>
      <c r="B3091" t="str">
        <f>"RESIDENCE MUTUALISTE LES MYOSOTIS"</f>
        <v>RESIDENCE MUTUALISTE LES MYOSOTIS</v>
      </c>
      <c r="C3091" t="s">
        <v>61</v>
      </c>
    </row>
    <row r="3092" spans="1:3" x14ac:dyDescent="0.25">
      <c r="A3092" t="str">
        <f>"420784621"</f>
        <v>420784621</v>
      </c>
      <c r="B3092" t="str">
        <f>"RESIDENCE MUTUALISTE LES TILLEULS"</f>
        <v>RESIDENCE MUTUALISTE LES TILLEULS</v>
      </c>
      <c r="C3092" t="s">
        <v>61</v>
      </c>
    </row>
    <row r="3093" spans="1:3" x14ac:dyDescent="0.25">
      <c r="A3093" t="str">
        <f>"420784647"</f>
        <v>420784647</v>
      </c>
      <c r="B3093" t="str">
        <f>"EHPAD JOIE DE VIVRE"</f>
        <v>EHPAD JOIE DE VIVRE</v>
      </c>
      <c r="C3093" t="s">
        <v>61</v>
      </c>
    </row>
    <row r="3094" spans="1:3" x14ac:dyDescent="0.25">
      <c r="A3094" t="str">
        <f>"420784738"</f>
        <v>420784738</v>
      </c>
      <c r="B3094" t="str">
        <f>"RESIDENCE MUTUALISTE L'ADRET"</f>
        <v>RESIDENCE MUTUALISTE L'ADRET</v>
      </c>
      <c r="C3094" t="s">
        <v>61</v>
      </c>
    </row>
    <row r="3095" spans="1:3" x14ac:dyDescent="0.25">
      <c r="A3095" t="str">
        <f>"420784811"</f>
        <v>420784811</v>
      </c>
      <c r="B3095" t="str">
        <f>"EHPAD PAYS DU GIER SITE LES CHARMILLES"</f>
        <v>EHPAD PAYS DU GIER SITE LES CHARMILLES</v>
      </c>
      <c r="C3095" t="s">
        <v>61</v>
      </c>
    </row>
    <row r="3096" spans="1:3" x14ac:dyDescent="0.25">
      <c r="A3096" t="str">
        <f>"420784860"</f>
        <v>420784860</v>
      </c>
      <c r="B3096" t="str">
        <f>"EHPAD LES MONTS DU SOIR"</f>
        <v>EHPAD LES MONTS DU SOIR</v>
      </c>
      <c r="C3096" t="s">
        <v>61</v>
      </c>
    </row>
    <row r="3097" spans="1:3" x14ac:dyDescent="0.25">
      <c r="A3097" t="str">
        <f>"420785032"</f>
        <v>420785032</v>
      </c>
      <c r="B3097" t="str">
        <f>"RESIDENCE MUTUALISTE LE VAL DORLAY"</f>
        <v>RESIDENCE MUTUALISTE LE VAL DORLAY</v>
      </c>
      <c r="C3097" t="s">
        <v>61</v>
      </c>
    </row>
    <row r="3098" spans="1:3" x14ac:dyDescent="0.25">
      <c r="A3098" t="str">
        <f>"420785289"</f>
        <v>420785289</v>
      </c>
      <c r="B3098" t="str">
        <f>"EHPAD CH DU FOREZ"</f>
        <v>EHPAD CH DU FOREZ</v>
      </c>
      <c r="C3098" t="s">
        <v>61</v>
      </c>
    </row>
    <row r="3099" spans="1:3" x14ac:dyDescent="0.25">
      <c r="A3099" t="str">
        <f>"420785388"</f>
        <v>420785388</v>
      </c>
      <c r="B3099" t="str">
        <f>"EHPAD MA MAISON"</f>
        <v>EHPAD MA MAISON</v>
      </c>
      <c r="C3099" t="s">
        <v>61</v>
      </c>
    </row>
    <row r="3100" spans="1:3" x14ac:dyDescent="0.25">
      <c r="A3100" t="str">
        <f>"420786204"</f>
        <v>420786204</v>
      </c>
      <c r="B3100" t="str">
        <f>"LA MAISON DE JEANNE"</f>
        <v>LA MAISON DE JEANNE</v>
      </c>
      <c r="C3100" t="s">
        <v>61</v>
      </c>
    </row>
    <row r="3101" spans="1:3" x14ac:dyDescent="0.25">
      <c r="A3101" t="str">
        <f>"420786717"</f>
        <v>420786717</v>
      </c>
      <c r="B3101" t="str">
        <f>"EHPAD SAINT SULPICE"</f>
        <v>EHPAD SAINT SULPICE</v>
      </c>
      <c r="C3101" t="s">
        <v>61</v>
      </c>
    </row>
    <row r="3102" spans="1:3" x14ac:dyDescent="0.25">
      <c r="A3102" t="str">
        <f>"420786873"</f>
        <v>420786873</v>
      </c>
      <c r="B3102" t="str">
        <f>"EHPAD CH MAURICE ANDRE"</f>
        <v>EHPAD CH MAURICE ANDRE</v>
      </c>
      <c r="C3102" t="s">
        <v>61</v>
      </c>
    </row>
    <row r="3103" spans="1:3" x14ac:dyDescent="0.25">
      <c r="A3103" t="str">
        <f>"420787178"</f>
        <v>420787178</v>
      </c>
      <c r="B3103" t="str">
        <f>"EHPAD CH MDL - CHAZELLES SUR LYON"</f>
        <v>EHPAD CH MDL - CHAZELLES SUR LYON</v>
      </c>
      <c r="C3103" t="s">
        <v>61</v>
      </c>
    </row>
    <row r="3104" spans="1:3" x14ac:dyDescent="0.25">
      <c r="A3104" t="str">
        <f>"420787442"</f>
        <v>420787442</v>
      </c>
      <c r="B3104" t="str">
        <f>"EHPAD CH DE BOEN"</f>
        <v>EHPAD CH DE BOEN</v>
      </c>
      <c r="C3104" t="s">
        <v>61</v>
      </c>
    </row>
    <row r="3105" spans="1:3" x14ac:dyDescent="0.25">
      <c r="A3105" t="str">
        <f>"420787681"</f>
        <v>420787681</v>
      </c>
      <c r="B3105" t="str">
        <f>"EHPAD LES JACINTHES"</f>
        <v>EHPAD LES JACINTHES</v>
      </c>
      <c r="C3105" t="s">
        <v>61</v>
      </c>
    </row>
    <row r="3106" spans="1:3" x14ac:dyDescent="0.25">
      <c r="A3106" t="str">
        <f>"420787780"</f>
        <v>420787780</v>
      </c>
      <c r="B3106" t="str">
        <f>"EHPAD DE HL ST JUST LA PENDUE"</f>
        <v>EHPAD DE HL ST JUST LA PENDUE</v>
      </c>
      <c r="C3106" t="s">
        <v>61</v>
      </c>
    </row>
    <row r="3107" spans="1:3" x14ac:dyDescent="0.25">
      <c r="A3107" t="str">
        <f>"420787806"</f>
        <v>420787806</v>
      </c>
      <c r="B3107" t="str">
        <f>"EHPAD CH DE CHARLIEU LES CORDELIERS"</f>
        <v>EHPAD CH DE CHARLIEU LES CORDELIERS</v>
      </c>
      <c r="C3107" t="s">
        <v>61</v>
      </c>
    </row>
    <row r="3108" spans="1:3" x14ac:dyDescent="0.25">
      <c r="A3108" t="str">
        <f>"420787962"</f>
        <v>420787962</v>
      </c>
      <c r="B3108" t="str">
        <f>"EHPAD CH ST BONNET LE CHATEAU"</f>
        <v>EHPAD CH ST BONNET LE CHATEAU</v>
      </c>
      <c r="C3108" t="s">
        <v>61</v>
      </c>
    </row>
    <row r="3109" spans="1:3" x14ac:dyDescent="0.25">
      <c r="A3109" t="str">
        <f>"420787970"</f>
        <v>420787970</v>
      </c>
      <c r="B3109" t="str">
        <f>"EHPAD DU CH DU PILAT RHODANIEN"</f>
        <v>EHPAD DU CH DU PILAT RHODANIEN</v>
      </c>
      <c r="C3109" t="s">
        <v>61</v>
      </c>
    </row>
    <row r="3110" spans="1:3" x14ac:dyDescent="0.25">
      <c r="A3110" t="str">
        <f>"420788515"</f>
        <v>420788515</v>
      </c>
      <c r="B3110" t="str">
        <f>"EHPAD LA RENAUDIERE"</f>
        <v>EHPAD LA RENAUDIERE</v>
      </c>
      <c r="C3110" t="s">
        <v>61</v>
      </c>
    </row>
    <row r="3111" spans="1:3" x14ac:dyDescent="0.25">
      <c r="A3111" t="str">
        <f>"420789091"</f>
        <v>420789091</v>
      </c>
      <c r="B3111" t="str">
        <f>"EHPAD LA BUISSONNIERE"</f>
        <v>EHPAD LA BUISSONNIERE</v>
      </c>
      <c r="C3111" t="s">
        <v>61</v>
      </c>
    </row>
    <row r="3112" spans="1:3" x14ac:dyDescent="0.25">
      <c r="A3112" t="str">
        <f>"420789174"</f>
        <v>420789174</v>
      </c>
      <c r="B3112" t="str">
        <f>"EHPAD LE VILLAGE MATIN CALME"</f>
        <v>EHPAD LE VILLAGE MATIN CALME</v>
      </c>
      <c r="C3112" t="s">
        <v>61</v>
      </c>
    </row>
    <row r="3113" spans="1:3" x14ac:dyDescent="0.25">
      <c r="A3113" t="str">
        <f>"420789281"</f>
        <v>420789281</v>
      </c>
      <c r="B3113" t="str">
        <f>"EHPAD DU CH DE ST PIERRE DE BOEUF"</f>
        <v>EHPAD DU CH DE ST PIERRE DE BOEUF</v>
      </c>
      <c r="C3113" t="s">
        <v>61</v>
      </c>
    </row>
    <row r="3114" spans="1:3" x14ac:dyDescent="0.25">
      <c r="A3114" t="str">
        <f>"420789299"</f>
        <v>420789299</v>
      </c>
      <c r="B3114" t="str">
        <f>"EHPAD AURELIA CH DE ROANNE"</f>
        <v>EHPAD AURELIA CH DE ROANNE</v>
      </c>
      <c r="C3114" t="s">
        <v>61</v>
      </c>
    </row>
    <row r="3115" spans="1:3" x14ac:dyDescent="0.25">
      <c r="A3115" t="str">
        <f>"420789364"</f>
        <v>420789364</v>
      </c>
      <c r="B3115" t="str">
        <f>"EHPAD LES MORELLES"</f>
        <v>EHPAD LES MORELLES</v>
      </c>
      <c r="C3115" t="s">
        <v>61</v>
      </c>
    </row>
    <row r="3116" spans="1:3" x14ac:dyDescent="0.25">
      <c r="A3116" t="str">
        <f>"420789380"</f>
        <v>420789380</v>
      </c>
      <c r="B3116" t="str">
        <f>"EHPAD SAINT-JUST-SAINT-RAMBERT"</f>
        <v>EHPAD SAINT-JUST-SAINT-RAMBERT</v>
      </c>
      <c r="C3116" t="s">
        <v>61</v>
      </c>
    </row>
    <row r="3117" spans="1:3" x14ac:dyDescent="0.25">
      <c r="A3117" t="str">
        <f>"420789398"</f>
        <v>420789398</v>
      </c>
      <c r="B3117" t="str">
        <f>"EHPAD SAINT-PRIEST-EN-JAREZ"</f>
        <v>EHPAD SAINT-PRIEST-EN-JAREZ</v>
      </c>
      <c r="C3117" t="s">
        <v>61</v>
      </c>
    </row>
    <row r="3118" spans="1:3" x14ac:dyDescent="0.25">
      <c r="A3118" t="str">
        <f>"420789406"</f>
        <v>420789406</v>
      </c>
      <c r="B3118" t="str">
        <f>"EHPAD LA TALAUDIERE"</f>
        <v>EHPAD LA TALAUDIERE</v>
      </c>
      <c r="C3118" t="s">
        <v>61</v>
      </c>
    </row>
    <row r="3119" spans="1:3" x14ac:dyDescent="0.25">
      <c r="A3119" t="str">
        <f>"420789414"</f>
        <v>420789414</v>
      </c>
      <c r="B3119" t="str">
        <f>"EHPAD BALBIGNY"</f>
        <v>EHPAD BALBIGNY</v>
      </c>
      <c r="C3119" t="s">
        <v>61</v>
      </c>
    </row>
    <row r="3120" spans="1:3" x14ac:dyDescent="0.25">
      <c r="A3120" t="str">
        <f>"420789539"</f>
        <v>420789539</v>
      </c>
      <c r="B3120" t="str">
        <f>"EHPAD LA PERONNIERE GRAND CROIX"</f>
        <v>EHPAD LA PERONNIERE GRAND CROIX</v>
      </c>
      <c r="C3120" t="s">
        <v>61</v>
      </c>
    </row>
    <row r="3121" spans="1:3" x14ac:dyDescent="0.25">
      <c r="A3121" t="str">
        <f>"420789547"</f>
        <v>420789547</v>
      </c>
      <c r="B3121" t="str">
        <f>"MR PRIVEE DU CLAIR-MONT"</f>
        <v>MR PRIVEE DU CLAIR-MONT</v>
      </c>
      <c r="C3121" t="s">
        <v>61</v>
      </c>
    </row>
    <row r="3122" spans="1:3" x14ac:dyDescent="0.25">
      <c r="A3122" t="str">
        <f>"420789752"</f>
        <v>420789752</v>
      </c>
      <c r="B3122" t="str">
        <f>"EHPAD LES GENS D'ICI"</f>
        <v>EHPAD LES GENS D'ICI</v>
      </c>
      <c r="C3122" t="s">
        <v>61</v>
      </c>
    </row>
    <row r="3123" spans="1:3" x14ac:dyDescent="0.25">
      <c r="A3123" t="str">
        <f>"420790917"</f>
        <v>420790917</v>
      </c>
      <c r="B3123" t="str">
        <f>"EHPAD LE GRILLON"</f>
        <v>EHPAD LE GRILLON</v>
      </c>
      <c r="C3123" t="s">
        <v>61</v>
      </c>
    </row>
    <row r="3124" spans="1:3" x14ac:dyDescent="0.25">
      <c r="A3124" t="str">
        <f>"420791337"</f>
        <v>420791337</v>
      </c>
      <c r="B3124" t="str">
        <f>"EHPAD FAURIEL"</f>
        <v>EHPAD FAURIEL</v>
      </c>
      <c r="C3124" t="s">
        <v>61</v>
      </c>
    </row>
    <row r="3125" spans="1:3" x14ac:dyDescent="0.25">
      <c r="A3125" t="str">
        <f>"420792442"</f>
        <v>420792442</v>
      </c>
      <c r="B3125" t="str">
        <f>"RESIDENCE MUTUALISTE AUTOMNE"</f>
        <v>RESIDENCE MUTUALISTE AUTOMNE</v>
      </c>
      <c r="C3125" t="s">
        <v>61</v>
      </c>
    </row>
    <row r="3126" spans="1:3" x14ac:dyDescent="0.25">
      <c r="A3126" t="str">
        <f>"420792475"</f>
        <v>420792475</v>
      </c>
      <c r="B3126" t="str">
        <f>"MAPAD LES BRUNEAUX"</f>
        <v>MAPAD LES BRUNEAUX</v>
      </c>
      <c r="C3126" t="s">
        <v>61</v>
      </c>
    </row>
    <row r="3127" spans="1:3" x14ac:dyDescent="0.25">
      <c r="A3127" t="str">
        <f>"420793275"</f>
        <v>420793275</v>
      </c>
      <c r="B3127" t="str">
        <f>"EHPAD LE CLOS DE CHAMPIROL"</f>
        <v>EHPAD LE CLOS DE CHAMPIROL</v>
      </c>
      <c r="C3127" t="s">
        <v>61</v>
      </c>
    </row>
    <row r="3128" spans="1:3" x14ac:dyDescent="0.25">
      <c r="A3128" t="str">
        <f>"420793424"</f>
        <v>420793424</v>
      </c>
      <c r="B3128" t="str">
        <f>"RESIDENCE MUTUALISTE LE SOLEIL"</f>
        <v>RESIDENCE MUTUALISTE LE SOLEIL</v>
      </c>
      <c r="C3128" t="s">
        <v>61</v>
      </c>
    </row>
    <row r="3129" spans="1:3" x14ac:dyDescent="0.25">
      <c r="A3129" t="str">
        <f>"420793523"</f>
        <v>420793523</v>
      </c>
      <c r="B3129" t="str">
        <f>"EHPAD SAINT JOSEPH"</f>
        <v>EHPAD SAINT JOSEPH</v>
      </c>
      <c r="C3129" t="s">
        <v>61</v>
      </c>
    </row>
    <row r="3130" spans="1:3" x14ac:dyDescent="0.25">
      <c r="A3130" t="str">
        <f>"420793671"</f>
        <v>420793671</v>
      </c>
      <c r="B3130" t="str">
        <f>"KORIAN VILLA JANIN"</f>
        <v>KORIAN VILLA JANIN</v>
      </c>
      <c r="C3130" t="s">
        <v>61</v>
      </c>
    </row>
    <row r="3131" spans="1:3" x14ac:dyDescent="0.25">
      <c r="A3131" t="str">
        <f>"420794505"</f>
        <v>420794505</v>
      </c>
      <c r="B3131" t="str">
        <f>"EHPAD RESIDENCE QUIETUDE"</f>
        <v>EHPAD RESIDENCE QUIETUDE</v>
      </c>
      <c r="C3131" t="s">
        <v>61</v>
      </c>
    </row>
    <row r="3132" spans="1:3" x14ac:dyDescent="0.25">
      <c r="A3132" t="str">
        <f>"430000042"</f>
        <v>430000042</v>
      </c>
      <c r="B3132" t="str">
        <f>"EHPAD RESIDENCE LES 2 VOLCANS"</f>
        <v>EHPAD RESIDENCE LES 2 VOLCANS</v>
      </c>
      <c r="C3132" t="s">
        <v>61</v>
      </c>
    </row>
    <row r="3133" spans="1:3" x14ac:dyDescent="0.25">
      <c r="A3133" t="str">
        <f>"430000075"</f>
        <v>430000075</v>
      </c>
      <c r="B3133" t="str">
        <f>"EHPAD L'AGE D'OR"</f>
        <v>EHPAD L'AGE D'OR</v>
      </c>
      <c r="C3133" t="s">
        <v>61</v>
      </c>
    </row>
    <row r="3134" spans="1:3" x14ac:dyDescent="0.25">
      <c r="A3134" t="str">
        <f>"430000083"</f>
        <v>430000083</v>
      </c>
      <c r="B3134" t="str">
        <f>"EHPAD SAINT-JACQUES"</f>
        <v>EHPAD SAINT-JACQUES</v>
      </c>
      <c r="C3134" t="s">
        <v>61</v>
      </c>
    </row>
    <row r="3135" spans="1:3" x14ac:dyDescent="0.25">
      <c r="A3135" t="str">
        <f>"430000133"</f>
        <v>430000133</v>
      </c>
      <c r="B3135" t="str">
        <f>"EHPAD SAINT DOMINIQUE - CRAPONNE"</f>
        <v>EHPAD SAINT DOMINIQUE - CRAPONNE</v>
      </c>
      <c r="C3135" t="s">
        <v>61</v>
      </c>
    </row>
    <row r="3136" spans="1:3" x14ac:dyDescent="0.25">
      <c r="A3136" t="str">
        <f>"430000364"</f>
        <v>430000364</v>
      </c>
      <c r="B3136" t="str">
        <f>"EHPAD LES CEDRES"</f>
        <v>EHPAD LES CEDRES</v>
      </c>
      <c r="C3136" t="s">
        <v>61</v>
      </c>
    </row>
    <row r="3137" spans="1:3" x14ac:dyDescent="0.25">
      <c r="A3137" t="str">
        <f>"430001628"</f>
        <v>430001628</v>
      </c>
      <c r="B3137" t="str">
        <f>"EHPAD SAINT JOSEPH"</f>
        <v>EHPAD SAINT JOSEPH</v>
      </c>
      <c r="C3137" t="s">
        <v>61</v>
      </c>
    </row>
    <row r="3138" spans="1:3" x14ac:dyDescent="0.25">
      <c r="A3138" t="str">
        <f>"430002048"</f>
        <v>430002048</v>
      </c>
      <c r="B3138" t="str">
        <f>"EHPAD LES TILLEULS"</f>
        <v>EHPAD LES TILLEULS</v>
      </c>
      <c r="C3138" t="s">
        <v>61</v>
      </c>
    </row>
    <row r="3139" spans="1:3" x14ac:dyDescent="0.25">
      <c r="A3139" t="str">
        <f>"430002055"</f>
        <v>430002055</v>
      </c>
      <c r="B3139" t="str">
        <f>"EHPAD SAINT-VINCENT"</f>
        <v>EHPAD SAINT-VINCENT</v>
      </c>
      <c r="C3139" t="s">
        <v>61</v>
      </c>
    </row>
    <row r="3140" spans="1:3" x14ac:dyDescent="0.25">
      <c r="A3140" t="str">
        <f>"430002063"</f>
        <v>430002063</v>
      </c>
      <c r="B3140" t="str">
        <f>"EHPAD 'MARC ROCHER'"</f>
        <v>EHPAD 'MARC ROCHER'</v>
      </c>
      <c r="C3140" t="s">
        <v>61</v>
      </c>
    </row>
    <row r="3141" spans="1:3" x14ac:dyDescent="0.25">
      <c r="A3141" t="str">
        <f>"430002089"</f>
        <v>430002089</v>
      </c>
      <c r="B3141" t="str">
        <f>"EHPAD LES TERRASSES DE LA GAZEILLE"</f>
        <v>EHPAD LES TERRASSES DE LA GAZEILLE</v>
      </c>
      <c r="C3141" t="s">
        <v>61</v>
      </c>
    </row>
    <row r="3142" spans="1:3" x14ac:dyDescent="0.25">
      <c r="A3142" t="str">
        <f>"430002113"</f>
        <v>430002113</v>
      </c>
      <c r="B3142" t="str">
        <f>"EHPAD 'SAINT- CHRISTOPHE'"</f>
        <v>EHPAD 'SAINT- CHRISTOPHE'</v>
      </c>
      <c r="C3142" t="s">
        <v>61</v>
      </c>
    </row>
    <row r="3143" spans="1:3" x14ac:dyDescent="0.25">
      <c r="A3143" t="str">
        <f>"430002139"</f>
        <v>430002139</v>
      </c>
      <c r="B3143" t="str">
        <f>"EHPAD 'VELLAVI'"</f>
        <v>EHPAD 'VELLAVI'</v>
      </c>
      <c r="C3143" t="s">
        <v>61</v>
      </c>
    </row>
    <row r="3144" spans="1:3" x14ac:dyDescent="0.25">
      <c r="A3144" t="str">
        <f>"430002147"</f>
        <v>430002147</v>
      </c>
      <c r="B3144" t="str">
        <f>"EHPAD SAINT JULIEN CHAPTEUIL"</f>
        <v>EHPAD SAINT JULIEN CHAPTEUIL</v>
      </c>
      <c r="C3144" t="s">
        <v>61</v>
      </c>
    </row>
    <row r="3145" spans="1:3" x14ac:dyDescent="0.25">
      <c r="A3145" t="str">
        <f>"430002154"</f>
        <v>430002154</v>
      </c>
      <c r="B3145" t="str">
        <f>"MAIS. DE RETRAITE ST MAURICE DE LIGNON"</f>
        <v>MAIS. DE RETRAITE ST MAURICE DE LIGNON</v>
      </c>
      <c r="C3145" t="s">
        <v>61</v>
      </c>
    </row>
    <row r="3146" spans="1:3" x14ac:dyDescent="0.25">
      <c r="A3146" t="str">
        <f>"430002162"</f>
        <v>430002162</v>
      </c>
      <c r="B3146" t="str">
        <f>"EHPAD 'LES SOURCES'"</f>
        <v>EHPAD 'LES SOURCES'</v>
      </c>
      <c r="C3146" t="s">
        <v>61</v>
      </c>
    </row>
    <row r="3147" spans="1:3" x14ac:dyDescent="0.25">
      <c r="A3147" t="str">
        <f>"430002170"</f>
        <v>430002170</v>
      </c>
      <c r="B3147" t="str">
        <f>"EHPAD RUESSIUM"</f>
        <v>EHPAD RUESSIUM</v>
      </c>
      <c r="C3147" t="s">
        <v>61</v>
      </c>
    </row>
    <row r="3148" spans="1:3" x14ac:dyDescent="0.25">
      <c r="A3148" t="str">
        <f>"430002188"</f>
        <v>430002188</v>
      </c>
      <c r="B3148" t="str">
        <f>"EHPAD 'LA SERIGOULE'"</f>
        <v>EHPAD 'LA SERIGOULE'</v>
      </c>
      <c r="C3148" t="s">
        <v>61</v>
      </c>
    </row>
    <row r="3149" spans="1:3" x14ac:dyDescent="0.25">
      <c r="A3149" t="str">
        <f>"430002568"</f>
        <v>430002568</v>
      </c>
      <c r="B3149" t="str">
        <f>"EHPAD 'MAISON NAZARETH'"</f>
        <v>EHPAD 'MAISON NAZARETH'</v>
      </c>
      <c r="C3149" t="s">
        <v>61</v>
      </c>
    </row>
    <row r="3150" spans="1:3" x14ac:dyDescent="0.25">
      <c r="A3150" t="str">
        <f>"430003608"</f>
        <v>430003608</v>
      </c>
      <c r="B3150" t="str">
        <f>"EHPAD RESIDENCES 'SAINT DOMINIQUE'"</f>
        <v>EHPAD RESIDENCES 'SAINT DOMINIQUE'</v>
      </c>
      <c r="C3150" t="s">
        <v>61</v>
      </c>
    </row>
    <row r="3151" spans="1:3" x14ac:dyDescent="0.25">
      <c r="A3151" t="str">
        <f>"430004093"</f>
        <v>430004093</v>
      </c>
      <c r="B3151" t="str">
        <f>"EHPAD FOYER BON SECOURS"</f>
        <v>EHPAD FOYER BON SECOURS</v>
      </c>
      <c r="C3151" t="s">
        <v>61</v>
      </c>
    </row>
    <row r="3152" spans="1:3" x14ac:dyDescent="0.25">
      <c r="A3152" t="str">
        <f>"430004143"</f>
        <v>430004143</v>
      </c>
      <c r="B3152" t="str">
        <f>"EHPAD CH BRIOUDE"</f>
        <v>EHPAD CH BRIOUDE</v>
      </c>
      <c r="C3152" t="s">
        <v>61</v>
      </c>
    </row>
    <row r="3153" spans="1:3" x14ac:dyDescent="0.25">
      <c r="A3153" t="str">
        <f>"430004150"</f>
        <v>430004150</v>
      </c>
      <c r="B3153" t="str">
        <f>"EHPAD DU CH DE CRAPONNE SUR ARZON"</f>
        <v>EHPAD DU CH DE CRAPONNE SUR ARZON</v>
      </c>
      <c r="C3153" t="s">
        <v>61</v>
      </c>
    </row>
    <row r="3154" spans="1:3" x14ac:dyDescent="0.25">
      <c r="A3154" t="str">
        <f>"430004259"</f>
        <v>430004259</v>
      </c>
      <c r="B3154" t="str">
        <f>"EHPAD 'LE TRIOLET'"</f>
        <v>EHPAD 'LE TRIOLET'</v>
      </c>
      <c r="C3154" t="s">
        <v>61</v>
      </c>
    </row>
    <row r="3155" spans="1:3" x14ac:dyDescent="0.25">
      <c r="A3155" t="str">
        <f>"430005355"</f>
        <v>430005355</v>
      </c>
      <c r="B3155" t="str">
        <f>"EHPAD FOYER SAINT DOMINIQUE"</f>
        <v>EHPAD FOYER SAINT DOMINIQUE</v>
      </c>
      <c r="C3155" t="s">
        <v>61</v>
      </c>
    </row>
    <row r="3156" spans="1:3" x14ac:dyDescent="0.25">
      <c r="A3156" t="str">
        <f>"430005363"</f>
        <v>430005363</v>
      </c>
      <c r="B3156" t="str">
        <f>"EHPAD DE RETOURNAC"</f>
        <v>EHPAD DE RETOURNAC</v>
      </c>
      <c r="C3156" t="s">
        <v>61</v>
      </c>
    </row>
    <row r="3157" spans="1:3" x14ac:dyDescent="0.25">
      <c r="A3157" t="str">
        <f>"430005371"</f>
        <v>430005371</v>
      </c>
      <c r="B3157" t="str">
        <f>"EHPAD 'RESIDENCE SIGOLENE'"</f>
        <v>EHPAD 'RESIDENCE SIGOLENE'</v>
      </c>
      <c r="C3157" t="s">
        <v>61</v>
      </c>
    </row>
    <row r="3158" spans="1:3" x14ac:dyDescent="0.25">
      <c r="A3158" t="str">
        <f>"430005389"</f>
        <v>430005389</v>
      </c>
      <c r="B3158" t="str">
        <f>"EHPAD FOYER NOTRE DAME"</f>
        <v>EHPAD FOYER NOTRE DAME</v>
      </c>
      <c r="C3158" t="s">
        <v>61</v>
      </c>
    </row>
    <row r="3159" spans="1:3" x14ac:dyDescent="0.25">
      <c r="A3159" t="str">
        <f>"430005397"</f>
        <v>430005397</v>
      </c>
      <c r="B3159" t="str">
        <f>"EHPAD 'FOYER VERT BOCAGE'"</f>
        <v>EHPAD 'FOYER VERT BOCAGE'</v>
      </c>
      <c r="C3159" t="s">
        <v>61</v>
      </c>
    </row>
    <row r="3160" spans="1:3" x14ac:dyDescent="0.25">
      <c r="A3160" t="str">
        <f>"430005413"</f>
        <v>430005413</v>
      </c>
      <c r="B3160" t="str">
        <f>"EHPAD SAINTE FLORINE"</f>
        <v>EHPAD SAINTE FLORINE</v>
      </c>
      <c r="C3160" t="s">
        <v>61</v>
      </c>
    </row>
    <row r="3161" spans="1:3" x14ac:dyDescent="0.25">
      <c r="A3161" t="str">
        <f>"430005439"</f>
        <v>430005439</v>
      </c>
      <c r="B3161" t="str">
        <f>"EHPAD 'FOYER ST JEAN'"</f>
        <v>EHPAD 'FOYER ST JEAN'</v>
      </c>
      <c r="C3161" t="s">
        <v>61</v>
      </c>
    </row>
    <row r="3162" spans="1:3" x14ac:dyDescent="0.25">
      <c r="A3162" t="str">
        <f>"430005462"</f>
        <v>430005462</v>
      </c>
      <c r="B3162" t="str">
        <f>"EHPAD 'FOYER MARIE GOY'"</f>
        <v>EHPAD 'FOYER MARIE GOY'</v>
      </c>
      <c r="C3162" t="s">
        <v>61</v>
      </c>
    </row>
    <row r="3163" spans="1:3" x14ac:dyDescent="0.25">
      <c r="A3163" t="str">
        <f>"430005470"</f>
        <v>430005470</v>
      </c>
      <c r="B3163" t="str">
        <f>"EHPAD MARIE LAGREVOL"</f>
        <v>EHPAD MARIE LAGREVOL</v>
      </c>
      <c r="C3163" t="s">
        <v>61</v>
      </c>
    </row>
    <row r="3164" spans="1:3" x14ac:dyDescent="0.25">
      <c r="A3164" t="str">
        <f>"430005488"</f>
        <v>430005488</v>
      </c>
      <c r="B3164" t="str">
        <f>"EHPAD FOYER BON ACCUEIL"</f>
        <v>EHPAD FOYER BON ACCUEIL</v>
      </c>
      <c r="C3164" t="s">
        <v>61</v>
      </c>
    </row>
    <row r="3165" spans="1:3" x14ac:dyDescent="0.25">
      <c r="A3165" t="str">
        <f>"430005595"</f>
        <v>430005595</v>
      </c>
      <c r="B3165" t="str">
        <f>"EHPAD SAINTE MONIQUE"</f>
        <v>EHPAD SAINTE MONIQUE</v>
      </c>
      <c r="C3165" t="s">
        <v>61</v>
      </c>
    </row>
    <row r="3166" spans="1:3" x14ac:dyDescent="0.25">
      <c r="A3166" t="str">
        <f>"430005629"</f>
        <v>430005629</v>
      </c>
      <c r="B3166" t="str">
        <f>"EHPAD LE VERGER DE LEA"</f>
        <v>EHPAD LE VERGER DE LEA</v>
      </c>
      <c r="C3166" t="s">
        <v>61</v>
      </c>
    </row>
    <row r="3167" spans="1:3" x14ac:dyDescent="0.25">
      <c r="A3167" t="str">
        <f>"430006346"</f>
        <v>430006346</v>
      </c>
      <c r="B3167" t="str">
        <f>"EHPAD CH LANGEAC"</f>
        <v>EHPAD CH LANGEAC</v>
      </c>
      <c r="C3167" t="s">
        <v>61</v>
      </c>
    </row>
    <row r="3168" spans="1:3" x14ac:dyDescent="0.25">
      <c r="A3168" t="str">
        <f>"430006353"</f>
        <v>430006353</v>
      </c>
      <c r="B3168" t="str">
        <f>"EHPAD CH YSSINGEAUX"</f>
        <v>EHPAD CH YSSINGEAUX</v>
      </c>
      <c r="C3168" t="s">
        <v>61</v>
      </c>
    </row>
    <row r="3169" spans="1:3" x14ac:dyDescent="0.25">
      <c r="A3169" t="str">
        <f>"430006866"</f>
        <v>430006866</v>
      </c>
      <c r="B3169" t="str">
        <f>"EHPAD PARADIS"</f>
        <v>EHPAD PARADIS</v>
      </c>
      <c r="C3169" t="s">
        <v>61</v>
      </c>
    </row>
    <row r="3170" spans="1:3" x14ac:dyDescent="0.25">
      <c r="A3170" t="str">
        <f>"430006908"</f>
        <v>430006908</v>
      </c>
      <c r="B3170" t="str">
        <f>"EHPAD  'LES GENETS'"</f>
        <v>EHPAD  'LES GENETS'</v>
      </c>
      <c r="C3170" t="s">
        <v>61</v>
      </c>
    </row>
    <row r="3171" spans="1:3" x14ac:dyDescent="0.25">
      <c r="A3171" t="str">
        <f>"430007021"</f>
        <v>430007021</v>
      </c>
      <c r="B3171" t="str">
        <f>"EHPAD 'LE GRAND PRE'"</f>
        <v>EHPAD 'LE GRAND PRE'</v>
      </c>
      <c r="C3171" t="s">
        <v>61</v>
      </c>
    </row>
    <row r="3172" spans="1:3" x14ac:dyDescent="0.25">
      <c r="A3172" t="str">
        <f>"430007047"</f>
        <v>430007047</v>
      </c>
      <c r="B3172" t="str">
        <f>"EHPAD 'RESIDENCE LA ROSERAIE'"</f>
        <v>EHPAD 'RESIDENCE LA ROSERAIE'</v>
      </c>
      <c r="C3172" t="s">
        <v>61</v>
      </c>
    </row>
    <row r="3173" spans="1:3" x14ac:dyDescent="0.25">
      <c r="A3173" t="str">
        <f>"430007062"</f>
        <v>430007062</v>
      </c>
      <c r="B3173" t="str">
        <f>"MAISON DE RETRAITE 'ST-REGIS'"</f>
        <v>MAISON DE RETRAITE 'ST-REGIS'</v>
      </c>
      <c r="C3173" t="s">
        <v>61</v>
      </c>
    </row>
    <row r="3174" spans="1:3" x14ac:dyDescent="0.25">
      <c r="A3174" t="str">
        <f>"430007609"</f>
        <v>430007609</v>
      </c>
      <c r="B3174" t="str">
        <f>"EHPAD 'LES PIREILLES'"</f>
        <v>EHPAD 'LES PIREILLES'</v>
      </c>
      <c r="C3174" t="s">
        <v>61</v>
      </c>
    </row>
    <row r="3175" spans="1:3" x14ac:dyDescent="0.25">
      <c r="A3175" t="str">
        <f>"430007617"</f>
        <v>430007617</v>
      </c>
      <c r="B3175" t="str">
        <f>"EHPAD 'BEL HORIZON'"</f>
        <v>EHPAD 'BEL HORIZON'</v>
      </c>
      <c r="C3175" t="s">
        <v>61</v>
      </c>
    </row>
    <row r="3176" spans="1:3" x14ac:dyDescent="0.25">
      <c r="A3176" t="str">
        <f>"430007716"</f>
        <v>430007716</v>
      </c>
      <c r="B3176" t="str">
        <f>"EHPAD L'HORT DES MELLEYRINES"</f>
        <v>EHPAD L'HORT DES MELLEYRINES</v>
      </c>
      <c r="C3176" t="s">
        <v>61</v>
      </c>
    </row>
    <row r="3177" spans="1:3" x14ac:dyDescent="0.25">
      <c r="A3177" t="str">
        <f>"430007815"</f>
        <v>430007815</v>
      </c>
      <c r="B3177" t="str">
        <f>"EHPAD RESIDENCE VILLA MARIE"</f>
        <v>EHPAD RESIDENCE VILLA MARIE</v>
      </c>
      <c r="C3177" t="s">
        <v>61</v>
      </c>
    </row>
    <row r="3178" spans="1:3" x14ac:dyDescent="0.25">
      <c r="A3178" t="str">
        <f>"430007856"</f>
        <v>430007856</v>
      </c>
      <c r="B3178" t="str">
        <f>"EHPAD LES PATIOS DU VELAY"</f>
        <v>EHPAD LES PATIOS DU VELAY</v>
      </c>
      <c r="C3178" t="s">
        <v>61</v>
      </c>
    </row>
    <row r="3179" spans="1:3" x14ac:dyDescent="0.25">
      <c r="A3179" t="str">
        <f>"430007864"</f>
        <v>430007864</v>
      </c>
      <c r="B3179" t="str">
        <f>"EHPAD CHS SAINTE-MARIE"</f>
        <v>EHPAD CHS SAINTE-MARIE</v>
      </c>
      <c r="C3179" t="s">
        <v>61</v>
      </c>
    </row>
    <row r="3180" spans="1:3" x14ac:dyDescent="0.25">
      <c r="A3180" t="str">
        <f>"430007872"</f>
        <v>430007872</v>
      </c>
      <c r="B3180" t="str">
        <f>"EHPAD MARIE PIA"</f>
        <v>EHPAD MARIE PIA</v>
      </c>
      <c r="C3180" t="s">
        <v>61</v>
      </c>
    </row>
    <row r="3181" spans="1:3" x14ac:dyDescent="0.25">
      <c r="A3181" t="str">
        <f>"440000354"</f>
        <v>440000354</v>
      </c>
      <c r="B3181" t="str">
        <f>"EHPAD DE LA VALLEE DU DON"</f>
        <v>EHPAD DE LA VALLEE DU DON</v>
      </c>
      <c r="C3181" t="s">
        <v>78</v>
      </c>
    </row>
    <row r="3182" spans="1:3" x14ac:dyDescent="0.25">
      <c r="A3182" t="str">
        <f>"440001196"</f>
        <v>440001196</v>
      </c>
      <c r="B3182" t="str">
        <f>"EHPAD LE PRIEURE"</f>
        <v>EHPAD LE PRIEURE</v>
      </c>
      <c r="C3182" t="s">
        <v>78</v>
      </c>
    </row>
    <row r="3183" spans="1:3" x14ac:dyDescent="0.25">
      <c r="A3183" t="str">
        <f>"440002046"</f>
        <v>440002046</v>
      </c>
      <c r="B3183" t="str">
        <f>"EHPAD LES TROIS RIVIERES"</f>
        <v>EHPAD LES TROIS RIVIERES</v>
      </c>
      <c r="C3183" t="s">
        <v>78</v>
      </c>
    </row>
    <row r="3184" spans="1:3" x14ac:dyDescent="0.25">
      <c r="A3184" t="str">
        <f>"440002053"</f>
        <v>440002053</v>
      </c>
      <c r="B3184" t="str">
        <f>"EHPAD LA GRANGE"</f>
        <v>EHPAD LA GRANGE</v>
      </c>
      <c r="C3184" t="s">
        <v>78</v>
      </c>
    </row>
    <row r="3185" spans="1:3" x14ac:dyDescent="0.25">
      <c r="A3185" t="str">
        <f>"440002061"</f>
        <v>440002061</v>
      </c>
      <c r="B3185" t="str">
        <f>"EHPAD LA JONCIERE"</f>
        <v>EHPAD LA JONCIERE</v>
      </c>
      <c r="C3185" t="s">
        <v>78</v>
      </c>
    </row>
    <row r="3186" spans="1:3" x14ac:dyDescent="0.25">
      <c r="A3186" t="str">
        <f>"440002079"</f>
        <v>440002079</v>
      </c>
      <c r="B3186" t="str">
        <f>"EHPAD BEAULIEU"</f>
        <v>EHPAD BEAULIEU</v>
      </c>
      <c r="C3186" t="s">
        <v>78</v>
      </c>
    </row>
    <row r="3187" spans="1:3" x14ac:dyDescent="0.25">
      <c r="A3187" t="str">
        <f>"440002087"</f>
        <v>440002087</v>
      </c>
      <c r="B3187" t="str">
        <f>"EHPAD LES RIVES DE L'AUXENCE"</f>
        <v>EHPAD LES RIVES DE L'AUXENCE</v>
      </c>
      <c r="C3187" t="s">
        <v>78</v>
      </c>
    </row>
    <row r="3188" spans="1:3" x14ac:dyDescent="0.25">
      <c r="A3188" t="str">
        <f>"440002095"</f>
        <v>440002095</v>
      </c>
      <c r="B3188" t="str">
        <f>"EHPAD ST JOSEPH"</f>
        <v>EHPAD ST JOSEPH</v>
      </c>
      <c r="C3188" t="s">
        <v>78</v>
      </c>
    </row>
    <row r="3189" spans="1:3" x14ac:dyDescent="0.25">
      <c r="A3189" t="str">
        <f>"440002103"</f>
        <v>440002103</v>
      </c>
      <c r="B3189" t="str">
        <f>"EHPAD MON REPOS"</f>
        <v>EHPAD MON REPOS</v>
      </c>
      <c r="C3189" t="s">
        <v>78</v>
      </c>
    </row>
    <row r="3190" spans="1:3" x14ac:dyDescent="0.25">
      <c r="A3190" t="str">
        <f>"440002327"</f>
        <v>440002327</v>
      </c>
      <c r="B3190" t="str">
        <f>"EHPAD LES LYS"</f>
        <v>EHPAD LES LYS</v>
      </c>
      <c r="C3190" t="s">
        <v>78</v>
      </c>
    </row>
    <row r="3191" spans="1:3" x14ac:dyDescent="0.25">
      <c r="A3191" t="str">
        <f>"440002640"</f>
        <v>440002640</v>
      </c>
      <c r="B3191" t="str">
        <f>"EHPAD LE DAUPHIN"</f>
        <v>EHPAD LE DAUPHIN</v>
      </c>
      <c r="C3191" t="s">
        <v>78</v>
      </c>
    </row>
    <row r="3192" spans="1:3" x14ac:dyDescent="0.25">
      <c r="A3192" t="str">
        <f>"440002657"</f>
        <v>440002657</v>
      </c>
      <c r="B3192" t="str">
        <f>"EHPAD LE LOGIS PETITE FORET"</f>
        <v>EHPAD LE LOGIS PETITE FORET</v>
      </c>
      <c r="C3192" t="s">
        <v>78</v>
      </c>
    </row>
    <row r="3193" spans="1:3" x14ac:dyDescent="0.25">
      <c r="A3193" t="str">
        <f>"440002665"</f>
        <v>440002665</v>
      </c>
      <c r="B3193" t="str">
        <f>"EHPAD LES BIGOURETTES"</f>
        <v>EHPAD LES BIGOURETTES</v>
      </c>
      <c r="C3193" t="s">
        <v>78</v>
      </c>
    </row>
    <row r="3194" spans="1:3" x14ac:dyDescent="0.25">
      <c r="A3194" t="str">
        <f>"440002673"</f>
        <v>440002673</v>
      </c>
      <c r="B3194" t="str">
        <f>"EHPAD LES PAMPRES DORES"</f>
        <v>EHPAD LES PAMPRES DORES</v>
      </c>
      <c r="C3194" t="s">
        <v>78</v>
      </c>
    </row>
    <row r="3195" spans="1:3" x14ac:dyDescent="0.25">
      <c r="A3195" t="str">
        <f>"440002681"</f>
        <v>440002681</v>
      </c>
      <c r="B3195" t="str">
        <f>"EHPAD DU SOLEIL"</f>
        <v>EHPAD DU SOLEIL</v>
      </c>
      <c r="C3195" t="s">
        <v>78</v>
      </c>
    </row>
    <row r="3196" spans="1:3" x14ac:dyDescent="0.25">
      <c r="A3196" t="str">
        <f>"440002699"</f>
        <v>440002699</v>
      </c>
      <c r="B3196" t="str">
        <f>"EHPAD SAINT GILDAS"</f>
        <v>EHPAD SAINT GILDAS</v>
      </c>
      <c r="C3196" t="s">
        <v>78</v>
      </c>
    </row>
    <row r="3197" spans="1:3" x14ac:dyDescent="0.25">
      <c r="A3197" t="str">
        <f>"440002715"</f>
        <v>440002715</v>
      </c>
      <c r="B3197" t="str">
        <f>"EHPAD BEL AIR"</f>
        <v>EHPAD BEL AIR</v>
      </c>
      <c r="C3197" t="s">
        <v>78</v>
      </c>
    </row>
    <row r="3198" spans="1:3" x14ac:dyDescent="0.25">
      <c r="A3198" t="str">
        <f>"440002723"</f>
        <v>440002723</v>
      </c>
      <c r="B3198" t="str">
        <f>"EHPAD LA SUZAIE"</f>
        <v>EHPAD LA SUZAIE</v>
      </c>
      <c r="C3198" t="s">
        <v>78</v>
      </c>
    </row>
    <row r="3199" spans="1:3" x14ac:dyDescent="0.25">
      <c r="A3199" t="str">
        <f>"440002731"</f>
        <v>440002731</v>
      </c>
      <c r="B3199" t="str">
        <f>"EHPAD LA SAINTE FAMILLE"</f>
        <v>EHPAD LA SAINTE FAMILLE</v>
      </c>
      <c r="C3199" t="s">
        <v>78</v>
      </c>
    </row>
    <row r="3200" spans="1:3" x14ac:dyDescent="0.25">
      <c r="A3200" t="str">
        <f>"440002749"</f>
        <v>440002749</v>
      </c>
      <c r="B3200" t="str">
        <f>"EHPAD BON ACCUEIL"</f>
        <v>EHPAD BON ACCUEIL</v>
      </c>
      <c r="C3200" t="s">
        <v>78</v>
      </c>
    </row>
    <row r="3201" spans="1:3" x14ac:dyDescent="0.25">
      <c r="A3201" t="str">
        <f>"440002756"</f>
        <v>440002756</v>
      </c>
      <c r="B3201" t="str">
        <f>"EHPAD VICTOR ECOMARD"</f>
        <v>EHPAD VICTOR ECOMARD</v>
      </c>
      <c r="C3201" t="s">
        <v>78</v>
      </c>
    </row>
    <row r="3202" spans="1:3" x14ac:dyDescent="0.25">
      <c r="A3202" t="str">
        <f>"440002764"</f>
        <v>440002764</v>
      </c>
      <c r="B3202" t="str">
        <f>"EHPAD LA ROSE DES VENTS"</f>
        <v>EHPAD LA ROSE DES VENTS</v>
      </c>
      <c r="C3202" t="s">
        <v>78</v>
      </c>
    </row>
    <row r="3203" spans="1:3" x14ac:dyDescent="0.25">
      <c r="A3203" t="str">
        <f>"440002772"</f>
        <v>440002772</v>
      </c>
      <c r="B3203" t="str">
        <f>"EHPAD LES FONTENELLES"</f>
        <v>EHPAD LES FONTENELLES</v>
      </c>
      <c r="C3203" t="s">
        <v>78</v>
      </c>
    </row>
    <row r="3204" spans="1:3" x14ac:dyDescent="0.25">
      <c r="A3204" t="str">
        <f>"440002780"</f>
        <v>440002780</v>
      </c>
      <c r="B3204" t="str">
        <f>"EHPAD LES SAVARIERES"</f>
        <v>EHPAD LES SAVARIERES</v>
      </c>
      <c r="C3204" t="s">
        <v>78</v>
      </c>
    </row>
    <row r="3205" spans="1:3" x14ac:dyDescent="0.25">
      <c r="A3205" t="str">
        <f>"440002798"</f>
        <v>440002798</v>
      </c>
      <c r="B3205" t="str">
        <f>"EHPAD L'ILE VERTE"</f>
        <v>EHPAD L'ILE VERTE</v>
      </c>
      <c r="C3205" t="s">
        <v>78</v>
      </c>
    </row>
    <row r="3206" spans="1:3" x14ac:dyDescent="0.25">
      <c r="A3206" t="str">
        <f>"440002806"</f>
        <v>440002806</v>
      </c>
      <c r="B3206" t="str">
        <f>"EHPAD LES JARDINS DE L'ERDRE"</f>
        <v>EHPAD LES JARDINS DE L'ERDRE</v>
      </c>
      <c r="C3206" t="s">
        <v>78</v>
      </c>
    </row>
    <row r="3207" spans="1:3" x14ac:dyDescent="0.25">
      <c r="A3207" t="str">
        <f>"440002814"</f>
        <v>440002814</v>
      </c>
      <c r="B3207" t="str">
        <f>"EHPAD SAINTE ANNE"</f>
        <v>EHPAD SAINTE ANNE</v>
      </c>
      <c r="C3207" t="s">
        <v>78</v>
      </c>
    </row>
    <row r="3208" spans="1:3" x14ac:dyDescent="0.25">
      <c r="A3208" t="str">
        <f>"440002822"</f>
        <v>440002822</v>
      </c>
      <c r="B3208" t="str">
        <f>"EHPAD DE LA BRIERE"</f>
        <v>EHPAD DE LA BRIERE</v>
      </c>
      <c r="C3208" t="s">
        <v>78</v>
      </c>
    </row>
    <row r="3209" spans="1:3" x14ac:dyDescent="0.25">
      <c r="A3209" t="str">
        <f>"440002830"</f>
        <v>440002830</v>
      </c>
      <c r="B3209" t="str">
        <f>"EHPAD MAISON D'ACCUEIL ST JULIEN"</f>
        <v>EHPAD MAISON D'ACCUEIL ST JULIEN</v>
      </c>
      <c r="C3209" t="s">
        <v>78</v>
      </c>
    </row>
    <row r="3210" spans="1:3" x14ac:dyDescent="0.25">
      <c r="A3210" t="str">
        <f>"440002848"</f>
        <v>440002848</v>
      </c>
      <c r="B3210" t="str">
        <f>"EHPAD THEOPHILE BRETONNIERE"</f>
        <v>EHPAD THEOPHILE BRETONNIERE</v>
      </c>
      <c r="C3210" t="s">
        <v>78</v>
      </c>
    </row>
    <row r="3211" spans="1:3" x14ac:dyDescent="0.25">
      <c r="A3211" t="str">
        <f>"440002855"</f>
        <v>440002855</v>
      </c>
      <c r="B3211" t="str">
        <f>"EHPAD LA BOURGONNIERE"</f>
        <v>EHPAD LA BOURGONNIERE</v>
      </c>
      <c r="C3211" t="s">
        <v>78</v>
      </c>
    </row>
    <row r="3212" spans="1:3" x14ac:dyDescent="0.25">
      <c r="A3212" t="str">
        <f>"440002863"</f>
        <v>440002863</v>
      </c>
      <c r="B3212" t="str">
        <f>"EHPAD SAINT ANDRE"</f>
        <v>EHPAD SAINT ANDRE</v>
      </c>
      <c r="C3212" t="s">
        <v>78</v>
      </c>
    </row>
    <row r="3213" spans="1:3" x14ac:dyDescent="0.25">
      <c r="A3213" t="str">
        <f>"440002871"</f>
        <v>440002871</v>
      </c>
      <c r="B3213" t="str">
        <f>"EHPAD LES 3 MOULINS"</f>
        <v>EHPAD LES 3 MOULINS</v>
      </c>
      <c r="C3213" t="s">
        <v>78</v>
      </c>
    </row>
    <row r="3214" spans="1:3" x14ac:dyDescent="0.25">
      <c r="A3214" t="str">
        <f>"440002889"</f>
        <v>440002889</v>
      </c>
      <c r="B3214" t="str">
        <f>"EHPAD SAINT PAUL"</f>
        <v>EHPAD SAINT PAUL</v>
      </c>
      <c r="C3214" t="s">
        <v>78</v>
      </c>
    </row>
    <row r="3215" spans="1:3" x14ac:dyDescent="0.25">
      <c r="A3215" t="str">
        <f>"440002897"</f>
        <v>440002897</v>
      </c>
      <c r="B3215" t="str">
        <f>"EHPAD LA HOUSSAIS"</f>
        <v>EHPAD LA HOUSSAIS</v>
      </c>
      <c r="C3215" t="s">
        <v>78</v>
      </c>
    </row>
    <row r="3216" spans="1:3" x14ac:dyDescent="0.25">
      <c r="A3216" t="str">
        <f>"440002905"</f>
        <v>440002905</v>
      </c>
      <c r="B3216" t="str">
        <f>"EHPAD LES JARDINS DU VERT PRAUD"</f>
        <v>EHPAD LES JARDINS DU VERT PRAUD</v>
      </c>
      <c r="C3216" t="s">
        <v>78</v>
      </c>
    </row>
    <row r="3217" spans="1:3" x14ac:dyDescent="0.25">
      <c r="A3217" t="str">
        <f>"440002913"</f>
        <v>440002913</v>
      </c>
      <c r="B3217" t="str">
        <f>"EHPAD MAUPERTHUIS"</f>
        <v>EHPAD MAUPERTHUIS</v>
      </c>
      <c r="C3217" t="s">
        <v>78</v>
      </c>
    </row>
    <row r="3218" spans="1:3" x14ac:dyDescent="0.25">
      <c r="A3218" t="str">
        <f>"440002921"</f>
        <v>440002921</v>
      </c>
      <c r="B3218" t="str">
        <f>"EHPAD LA CHATAIGNERAIE"</f>
        <v>EHPAD LA CHATAIGNERAIE</v>
      </c>
      <c r="C3218" t="s">
        <v>78</v>
      </c>
    </row>
    <row r="3219" spans="1:3" x14ac:dyDescent="0.25">
      <c r="A3219" t="str">
        <f>"440002947"</f>
        <v>440002947</v>
      </c>
      <c r="B3219" t="str">
        <f>"EHPAD SAINT JOSEPH"</f>
        <v>EHPAD SAINT JOSEPH</v>
      </c>
      <c r="C3219" t="s">
        <v>78</v>
      </c>
    </row>
    <row r="3220" spans="1:3" x14ac:dyDescent="0.25">
      <c r="A3220" t="str">
        <f>"440002954"</f>
        <v>440002954</v>
      </c>
      <c r="B3220" t="str">
        <f>"EHPAD LES RIVES DE L'ERDRE"</f>
        <v>EHPAD LES RIVES DE L'ERDRE</v>
      </c>
      <c r="C3220" t="s">
        <v>78</v>
      </c>
    </row>
    <row r="3221" spans="1:3" x14ac:dyDescent="0.25">
      <c r="A3221" t="str">
        <f>"440002988"</f>
        <v>440002988</v>
      </c>
      <c r="B3221" t="str">
        <f>"EHPAD SAINT-PIERRE"</f>
        <v>EHPAD SAINT-PIERRE</v>
      </c>
      <c r="C3221" t="s">
        <v>78</v>
      </c>
    </row>
    <row r="3222" spans="1:3" x14ac:dyDescent="0.25">
      <c r="A3222" t="str">
        <f>"440002996"</f>
        <v>440002996</v>
      </c>
      <c r="B3222" t="str">
        <f>"EHPAD ST JOSEPH"</f>
        <v>EHPAD ST JOSEPH</v>
      </c>
      <c r="C3222" t="s">
        <v>78</v>
      </c>
    </row>
    <row r="3223" spans="1:3" x14ac:dyDescent="0.25">
      <c r="A3223" t="str">
        <f>"440003002"</f>
        <v>440003002</v>
      </c>
      <c r="B3223" t="str">
        <f>"EHPAD SIMON RINGEARD"</f>
        <v>EHPAD SIMON RINGEARD</v>
      </c>
      <c r="C3223" t="s">
        <v>78</v>
      </c>
    </row>
    <row r="3224" spans="1:3" x14ac:dyDescent="0.25">
      <c r="A3224" t="str">
        <f>"440003044"</f>
        <v>440003044</v>
      </c>
      <c r="B3224" t="str">
        <f>"EHPAD MONTCLAIR"</f>
        <v>EHPAD MONTCLAIR</v>
      </c>
      <c r="C3224" t="s">
        <v>78</v>
      </c>
    </row>
    <row r="3225" spans="1:3" x14ac:dyDescent="0.25">
      <c r="A3225" t="str">
        <f>"440003051"</f>
        <v>440003051</v>
      </c>
      <c r="B3225" t="str">
        <f>"EHPAD FLEURS DES CHAMPS"</f>
        <v>EHPAD FLEURS DES CHAMPS</v>
      </c>
      <c r="C3225" t="s">
        <v>78</v>
      </c>
    </row>
    <row r="3226" spans="1:3" x14ac:dyDescent="0.25">
      <c r="A3226" t="str">
        <f>"440003069"</f>
        <v>440003069</v>
      </c>
      <c r="B3226" t="str">
        <f>"EHPAD BON REPOS"</f>
        <v>EHPAD BON REPOS</v>
      </c>
      <c r="C3226" t="s">
        <v>78</v>
      </c>
    </row>
    <row r="3227" spans="1:3" x14ac:dyDescent="0.25">
      <c r="A3227" t="str">
        <f>"440003077"</f>
        <v>440003077</v>
      </c>
      <c r="B3227" t="str">
        <f>"EHPAD KER MARIA"</f>
        <v>EHPAD KER MARIA</v>
      </c>
      <c r="C3227" t="s">
        <v>78</v>
      </c>
    </row>
    <row r="3228" spans="1:3" x14ac:dyDescent="0.25">
      <c r="A3228" t="str">
        <f>"440003093"</f>
        <v>440003093</v>
      </c>
      <c r="B3228" t="str">
        <f>"EHPAD LE CLOS DU MOULIN"</f>
        <v>EHPAD LE CLOS DU MOULIN</v>
      </c>
      <c r="C3228" t="s">
        <v>78</v>
      </c>
    </row>
    <row r="3229" spans="1:3" x14ac:dyDescent="0.25">
      <c r="A3229" t="str">
        <f>"440003101"</f>
        <v>440003101</v>
      </c>
      <c r="B3229" t="str">
        <f>"EHPAD FOYER DE LA PERRIERE"</f>
        <v>EHPAD FOYER DE LA PERRIERE</v>
      </c>
      <c r="C3229" t="s">
        <v>78</v>
      </c>
    </row>
    <row r="3230" spans="1:3" x14ac:dyDescent="0.25">
      <c r="A3230" t="str">
        <f>"440003119"</f>
        <v>440003119</v>
      </c>
      <c r="B3230" t="str">
        <f>"EHPAD LE CHENE DE LA CORMIERE"</f>
        <v>EHPAD LE CHENE DE LA CORMIERE</v>
      </c>
      <c r="C3230" t="s">
        <v>78</v>
      </c>
    </row>
    <row r="3231" spans="1:3" x14ac:dyDescent="0.25">
      <c r="A3231" t="str">
        <f>"440003135"</f>
        <v>440003135</v>
      </c>
      <c r="B3231" t="str">
        <f>"EHPAD SAINT-LOUIS"</f>
        <v>EHPAD SAINT-LOUIS</v>
      </c>
      <c r="C3231" t="s">
        <v>78</v>
      </c>
    </row>
    <row r="3232" spans="1:3" x14ac:dyDescent="0.25">
      <c r="A3232" t="str">
        <f>"440003184"</f>
        <v>440003184</v>
      </c>
      <c r="B3232" t="str">
        <f>"EHPAD ISAC DE ROHAN - BLEU OCEAN"</f>
        <v>EHPAD ISAC DE ROHAN - BLEU OCEAN</v>
      </c>
      <c r="C3232" t="s">
        <v>78</v>
      </c>
    </row>
    <row r="3233" spans="1:3" x14ac:dyDescent="0.25">
      <c r="A3233" t="str">
        <f>"440003200"</f>
        <v>440003200</v>
      </c>
      <c r="B3233" t="str">
        <f>"EHPAD LE VAL D'EMILIE"</f>
        <v>EHPAD LE VAL D'EMILIE</v>
      </c>
      <c r="C3233" t="s">
        <v>78</v>
      </c>
    </row>
    <row r="3234" spans="1:3" x14ac:dyDescent="0.25">
      <c r="A3234" t="str">
        <f>"440003218"</f>
        <v>440003218</v>
      </c>
      <c r="B3234" t="str">
        <f>"EHPAD LE BOIS FLEURI"</f>
        <v>EHPAD LE BOIS FLEURI</v>
      </c>
      <c r="C3234" t="s">
        <v>78</v>
      </c>
    </row>
    <row r="3235" spans="1:3" x14ac:dyDescent="0.25">
      <c r="A3235" t="str">
        <f>"440003234"</f>
        <v>440003234</v>
      </c>
      <c r="B3235" t="str">
        <f>"EHPAD LE TRAICT"</f>
        <v>EHPAD LE TRAICT</v>
      </c>
      <c r="C3235" t="s">
        <v>78</v>
      </c>
    </row>
    <row r="3236" spans="1:3" x14ac:dyDescent="0.25">
      <c r="A3236" t="str">
        <f>"440003416"</f>
        <v>440003416</v>
      </c>
      <c r="B3236" t="str">
        <f>"EHPAD NOTRE DAME DU DON"</f>
        <v>EHPAD NOTRE DAME DU DON</v>
      </c>
      <c r="C3236" t="s">
        <v>78</v>
      </c>
    </row>
    <row r="3237" spans="1:3" x14ac:dyDescent="0.25">
      <c r="A3237" t="str">
        <f>"440003432"</f>
        <v>440003432</v>
      </c>
      <c r="B3237" t="str">
        <f>"EHPAD LA GRANDE PROVIDENCE"</f>
        <v>EHPAD LA GRANDE PROVIDENCE</v>
      </c>
      <c r="C3237" t="s">
        <v>78</v>
      </c>
    </row>
    <row r="3238" spans="1:3" x14ac:dyDescent="0.25">
      <c r="A3238" t="str">
        <f>"440003440"</f>
        <v>440003440</v>
      </c>
      <c r="B3238" t="str">
        <f>"EHPAD LA PROVIDENCE"</f>
        <v>EHPAD LA PROVIDENCE</v>
      </c>
      <c r="C3238" t="s">
        <v>78</v>
      </c>
    </row>
    <row r="3239" spans="1:3" x14ac:dyDescent="0.25">
      <c r="A3239" t="str">
        <f>"440003457"</f>
        <v>440003457</v>
      </c>
      <c r="B3239" t="str">
        <f>"EHPAD LES AJONCS"</f>
        <v>EHPAD LES AJONCS</v>
      </c>
      <c r="C3239" t="s">
        <v>78</v>
      </c>
    </row>
    <row r="3240" spans="1:3" x14ac:dyDescent="0.25">
      <c r="A3240" t="str">
        <f>"440003465"</f>
        <v>440003465</v>
      </c>
      <c r="B3240" t="str">
        <f>"EHPAD LES TILLEULS"</f>
        <v>EHPAD LES TILLEULS</v>
      </c>
      <c r="C3240" t="s">
        <v>78</v>
      </c>
    </row>
    <row r="3241" spans="1:3" x14ac:dyDescent="0.25">
      <c r="A3241" t="str">
        <f>"440003549"</f>
        <v>440003549</v>
      </c>
      <c r="B3241" t="str">
        <f>"EHPAD HAMEAU SAINT-JOSEPH"</f>
        <v>EHPAD HAMEAU SAINT-JOSEPH</v>
      </c>
      <c r="C3241" t="s">
        <v>78</v>
      </c>
    </row>
    <row r="3242" spans="1:3" x14ac:dyDescent="0.25">
      <c r="A3242" t="str">
        <f>"440003564"</f>
        <v>440003564</v>
      </c>
      <c r="B3242" t="str">
        <f>"EHPAD DU HAVRE"</f>
        <v>EHPAD DU HAVRE</v>
      </c>
      <c r="C3242" t="s">
        <v>78</v>
      </c>
    </row>
    <row r="3243" spans="1:3" x14ac:dyDescent="0.25">
      <c r="A3243" t="str">
        <f>"440003572"</f>
        <v>440003572</v>
      </c>
      <c r="B3243" t="str">
        <f>"EHPAD LE SILLON"</f>
        <v>EHPAD LE SILLON</v>
      </c>
      <c r="C3243" t="s">
        <v>78</v>
      </c>
    </row>
    <row r="3244" spans="1:3" x14ac:dyDescent="0.25">
      <c r="A3244" t="str">
        <f>"440003598"</f>
        <v>440003598</v>
      </c>
      <c r="B3244" t="str">
        <f>"EHPAD L'IMMACULEE"</f>
        <v>EHPAD L'IMMACULEE</v>
      </c>
      <c r="C3244" t="s">
        <v>78</v>
      </c>
    </row>
    <row r="3245" spans="1:3" x14ac:dyDescent="0.25">
      <c r="A3245" t="str">
        <f>"440003606"</f>
        <v>440003606</v>
      </c>
      <c r="B3245" t="str">
        <f>"EHPAD DU BOCAGE"</f>
        <v>EHPAD DU BOCAGE</v>
      </c>
      <c r="C3245" t="s">
        <v>78</v>
      </c>
    </row>
    <row r="3246" spans="1:3" x14ac:dyDescent="0.25">
      <c r="A3246" t="str">
        <f>"440003622"</f>
        <v>440003622</v>
      </c>
      <c r="B3246" t="str">
        <f>"EHPAD LE PLOREAU"</f>
        <v>EHPAD LE PLOREAU</v>
      </c>
      <c r="C3246" t="s">
        <v>78</v>
      </c>
    </row>
    <row r="3247" spans="1:3" x14ac:dyDescent="0.25">
      <c r="A3247" t="str">
        <f>"440003648"</f>
        <v>440003648</v>
      </c>
      <c r="B3247" t="str">
        <f>"EHPAD LA HAUTIERE"</f>
        <v>EHPAD LA HAUTIERE</v>
      </c>
      <c r="C3247" t="s">
        <v>78</v>
      </c>
    </row>
    <row r="3248" spans="1:3" x14ac:dyDescent="0.25">
      <c r="A3248" t="str">
        <f>"440003887"</f>
        <v>440003887</v>
      </c>
      <c r="B3248" t="str">
        <f>"EHPAD LE GUE FLORENT"</f>
        <v>EHPAD LE GUE FLORENT</v>
      </c>
      <c r="C3248" t="s">
        <v>78</v>
      </c>
    </row>
    <row r="3249" spans="1:3" x14ac:dyDescent="0.25">
      <c r="A3249" t="str">
        <f>"440007276"</f>
        <v>440007276</v>
      </c>
      <c r="B3249" t="str">
        <f>"EHPAD LE CHAMBELLAN"</f>
        <v>EHPAD LE CHAMBELLAN</v>
      </c>
      <c r="C3249" t="s">
        <v>78</v>
      </c>
    </row>
    <row r="3250" spans="1:3" x14ac:dyDescent="0.25">
      <c r="A3250" t="str">
        <f>"440007318"</f>
        <v>440007318</v>
      </c>
      <c r="B3250" t="str">
        <f>"EHPAD LES TROIS CLOCHERS"</f>
        <v>EHPAD LES TROIS CLOCHERS</v>
      </c>
      <c r="C3250" t="s">
        <v>78</v>
      </c>
    </row>
    <row r="3251" spans="1:3" x14ac:dyDescent="0.25">
      <c r="A3251" t="str">
        <f>"440007441"</f>
        <v>440007441</v>
      </c>
      <c r="B3251" t="str">
        <f>"EHPAD LA TOUR DU PE"</f>
        <v>EHPAD LA TOUR DU PE</v>
      </c>
      <c r="C3251" t="s">
        <v>78</v>
      </c>
    </row>
    <row r="3252" spans="1:3" x14ac:dyDescent="0.25">
      <c r="A3252" t="str">
        <f>"440007458"</f>
        <v>440007458</v>
      </c>
      <c r="B3252" t="str">
        <f>"EHPAD LA SANGLERIE"</f>
        <v>EHPAD LA SANGLERIE</v>
      </c>
      <c r="C3252" t="s">
        <v>78</v>
      </c>
    </row>
    <row r="3253" spans="1:3" x14ac:dyDescent="0.25">
      <c r="A3253" t="str">
        <f>"440007466"</f>
        <v>440007466</v>
      </c>
      <c r="B3253" t="str">
        <f>"EHPAD LE VERGER"</f>
        <v>EHPAD LE VERGER</v>
      </c>
      <c r="C3253" t="s">
        <v>78</v>
      </c>
    </row>
    <row r="3254" spans="1:3" x14ac:dyDescent="0.25">
      <c r="A3254" t="str">
        <f>"440009371"</f>
        <v>440009371</v>
      </c>
      <c r="B3254" t="str">
        <f>"EHPAD ELSA TRIOLET"</f>
        <v>EHPAD ELSA TRIOLET</v>
      </c>
      <c r="C3254" t="s">
        <v>78</v>
      </c>
    </row>
    <row r="3255" spans="1:3" x14ac:dyDescent="0.25">
      <c r="A3255" t="str">
        <f>"440009421"</f>
        <v>440009421</v>
      </c>
      <c r="B3255" t="str">
        <f>"EHPAD LE VAL DE L'EVE"</f>
        <v>EHPAD LE VAL DE L'EVE</v>
      </c>
      <c r="C3255" t="s">
        <v>78</v>
      </c>
    </row>
    <row r="3256" spans="1:3" x14ac:dyDescent="0.25">
      <c r="A3256" t="str">
        <f>"440009439"</f>
        <v>440009439</v>
      </c>
      <c r="B3256" t="str">
        <f>"EHPAD KORIAN LE RANZAY"</f>
        <v>EHPAD KORIAN LE RANZAY</v>
      </c>
      <c r="C3256" t="s">
        <v>78</v>
      </c>
    </row>
    <row r="3257" spans="1:3" x14ac:dyDescent="0.25">
      <c r="A3257" t="str">
        <f>"440009447"</f>
        <v>440009447</v>
      </c>
      <c r="B3257" t="str">
        <f>"EHPAD REPOS DE PROCE"</f>
        <v>EHPAD REPOS DE PROCE</v>
      </c>
      <c r="C3257" t="s">
        <v>78</v>
      </c>
    </row>
    <row r="3258" spans="1:3" x14ac:dyDescent="0.25">
      <c r="A3258" t="str">
        <f>"440009462"</f>
        <v>440009462</v>
      </c>
      <c r="B3258" t="str">
        <f>"EHPAD DU BON PASTEUR"</f>
        <v>EHPAD DU BON PASTEUR</v>
      </c>
      <c r="C3258" t="s">
        <v>78</v>
      </c>
    </row>
    <row r="3259" spans="1:3" x14ac:dyDescent="0.25">
      <c r="A3259" t="str">
        <f>"440009488"</f>
        <v>440009488</v>
      </c>
      <c r="B3259" t="str">
        <f>"EHPAD MA MAISON"</f>
        <v>EHPAD MA MAISON</v>
      </c>
      <c r="C3259" t="s">
        <v>78</v>
      </c>
    </row>
    <row r="3260" spans="1:3" x14ac:dyDescent="0.25">
      <c r="A3260" t="str">
        <f>"440009512"</f>
        <v>440009512</v>
      </c>
      <c r="B3260" t="str">
        <f>"EHPAD ESPERANCE"</f>
        <v>EHPAD ESPERANCE</v>
      </c>
      <c r="C3260" t="s">
        <v>78</v>
      </c>
    </row>
    <row r="3261" spans="1:3" x14ac:dyDescent="0.25">
      <c r="A3261" t="str">
        <f>"440012086"</f>
        <v>440012086</v>
      </c>
      <c r="B3261" t="str">
        <f>"EHPAD LE PRIEURE"</f>
        <v>EHPAD LE PRIEURE</v>
      </c>
      <c r="C3261" t="s">
        <v>78</v>
      </c>
    </row>
    <row r="3262" spans="1:3" x14ac:dyDescent="0.25">
      <c r="A3262" t="str">
        <f>"440013290"</f>
        <v>440013290</v>
      </c>
      <c r="B3262" t="str">
        <f>"EHPAD LA CHALANDIERE"</f>
        <v>EHPAD LA CHALANDIERE</v>
      </c>
      <c r="C3262" t="s">
        <v>78</v>
      </c>
    </row>
    <row r="3263" spans="1:3" x14ac:dyDescent="0.25">
      <c r="A3263" t="str">
        <f>"440013316"</f>
        <v>440013316</v>
      </c>
      <c r="B3263" t="str">
        <f>"EHPAD L'HIRONDELLE DE SEVRE"</f>
        <v>EHPAD L'HIRONDELLE DE SEVRE</v>
      </c>
      <c r="C3263" t="s">
        <v>78</v>
      </c>
    </row>
    <row r="3264" spans="1:3" x14ac:dyDescent="0.25">
      <c r="A3264" t="str">
        <f>"440013357"</f>
        <v>440013357</v>
      </c>
      <c r="B3264" t="str">
        <f>"EHPAD DE FONTENY"</f>
        <v>EHPAD DE FONTENY</v>
      </c>
      <c r="C3264" t="s">
        <v>78</v>
      </c>
    </row>
    <row r="3265" spans="1:3" x14ac:dyDescent="0.25">
      <c r="A3265" t="str">
        <f>"440017747"</f>
        <v>440017747</v>
      </c>
      <c r="B3265" t="str">
        <f>"EHPAD LES GLENANS"</f>
        <v>EHPAD LES GLENANS</v>
      </c>
      <c r="C3265" t="s">
        <v>78</v>
      </c>
    </row>
    <row r="3266" spans="1:3" x14ac:dyDescent="0.25">
      <c r="A3266" t="str">
        <f>"440018133"</f>
        <v>440018133</v>
      </c>
      <c r="B3266" t="str">
        <f>"EHPAD CH CHATEAUBRIANT - BERE"</f>
        <v>EHPAD CH CHATEAUBRIANT - BERE</v>
      </c>
      <c r="C3266" t="s">
        <v>78</v>
      </c>
    </row>
    <row r="3267" spans="1:3" x14ac:dyDescent="0.25">
      <c r="A3267" t="str">
        <f>"440021111"</f>
        <v>440021111</v>
      </c>
      <c r="B3267" t="str">
        <f>"EHPAD ANNE DE BRETAGNE"</f>
        <v>EHPAD ANNE DE BRETAGNE</v>
      </c>
      <c r="C3267" t="s">
        <v>78</v>
      </c>
    </row>
    <row r="3268" spans="1:3" x14ac:dyDescent="0.25">
      <c r="A3268" t="str">
        <f>"440021129"</f>
        <v>440021129</v>
      </c>
      <c r="B3268" t="str">
        <f>"EHPAD PAIMBOEUF"</f>
        <v>EHPAD PAIMBOEUF</v>
      </c>
      <c r="C3268" t="s">
        <v>78</v>
      </c>
    </row>
    <row r="3269" spans="1:3" x14ac:dyDescent="0.25">
      <c r="A3269" t="str">
        <f>"440021145"</f>
        <v>440021145</v>
      </c>
      <c r="B3269" t="str">
        <f>"EHPAD HEOL"</f>
        <v>EHPAD HEOL</v>
      </c>
      <c r="C3269" t="s">
        <v>78</v>
      </c>
    </row>
    <row r="3270" spans="1:3" x14ac:dyDescent="0.25">
      <c r="A3270" t="str">
        <f>"440021160"</f>
        <v>440021160</v>
      </c>
      <c r="B3270" t="str">
        <f>"EHPAD GALATHEA"</f>
        <v>EHPAD GALATHEA</v>
      </c>
      <c r="C3270" t="s">
        <v>78</v>
      </c>
    </row>
    <row r="3271" spans="1:3" x14ac:dyDescent="0.25">
      <c r="A3271" t="str">
        <f>"440021186"</f>
        <v>440021186</v>
      </c>
      <c r="B3271" t="str">
        <f>"EHPAD HIC DE LA PRESQU'ILE"</f>
        <v>EHPAD HIC DE LA PRESQU'ILE</v>
      </c>
      <c r="C3271" t="s">
        <v>78</v>
      </c>
    </row>
    <row r="3272" spans="1:3" x14ac:dyDescent="0.25">
      <c r="A3272" t="str">
        <f>"440021210"</f>
        <v>440021210</v>
      </c>
      <c r="B3272" t="str">
        <f>"EHPAD CH LOIRE VENDEE OCEAN"</f>
        <v>EHPAD CH LOIRE VENDEE OCEAN</v>
      </c>
      <c r="C3272" t="s">
        <v>78</v>
      </c>
    </row>
    <row r="3273" spans="1:3" x14ac:dyDescent="0.25">
      <c r="A3273" t="str">
        <f>"440021228"</f>
        <v>440021228</v>
      </c>
      <c r="B3273" t="str">
        <f>"EHPAD HOPITAL SEVRE ET LOIRE"</f>
        <v>EHPAD HOPITAL SEVRE ET LOIRE</v>
      </c>
      <c r="C3273" t="s">
        <v>78</v>
      </c>
    </row>
    <row r="3274" spans="1:3" x14ac:dyDescent="0.25">
      <c r="A3274" t="str">
        <f>"440021244"</f>
        <v>440021244</v>
      </c>
      <c r="B3274" t="str">
        <f>"EHPAD LES JARDINS DE BOTTEREL"</f>
        <v>EHPAD LES JARDINS DE BOTTEREL</v>
      </c>
      <c r="C3274" t="s">
        <v>78</v>
      </c>
    </row>
    <row r="3275" spans="1:3" x14ac:dyDescent="0.25">
      <c r="A3275" t="str">
        <f>"440021277"</f>
        <v>440021277</v>
      </c>
      <c r="B3275" t="str">
        <f>"EHPAD LES COROLLES"</f>
        <v>EHPAD LES COROLLES</v>
      </c>
      <c r="C3275" t="s">
        <v>78</v>
      </c>
    </row>
    <row r="3276" spans="1:3" x14ac:dyDescent="0.25">
      <c r="A3276" t="str">
        <f>"440021293"</f>
        <v>440021293</v>
      </c>
      <c r="B3276" t="str">
        <f>"EHPAD LA ROCHEFOUCAULD"</f>
        <v>EHPAD LA ROCHEFOUCAULD</v>
      </c>
      <c r="C3276" t="s">
        <v>78</v>
      </c>
    </row>
    <row r="3277" spans="1:3" x14ac:dyDescent="0.25">
      <c r="A3277" t="str">
        <f>"440021301"</f>
        <v>440021301</v>
      </c>
      <c r="B3277" t="str">
        <f>"EHPAD LA BAIE"</f>
        <v>EHPAD LA BAIE</v>
      </c>
      <c r="C3277" t="s">
        <v>78</v>
      </c>
    </row>
    <row r="3278" spans="1:3" x14ac:dyDescent="0.25">
      <c r="A3278" t="str">
        <f>"440021327"</f>
        <v>440021327</v>
      </c>
      <c r="B3278" t="str">
        <f>"EHPAD CH NOZAY"</f>
        <v>EHPAD CH NOZAY</v>
      </c>
      <c r="C3278" t="s">
        <v>78</v>
      </c>
    </row>
    <row r="3279" spans="1:3" x14ac:dyDescent="0.25">
      <c r="A3279" t="str">
        <f>"440021350"</f>
        <v>440021350</v>
      </c>
      <c r="B3279" t="str">
        <f>"EHPAD HIC DE LA PRESQU'ILE- LE CROISIC"</f>
        <v>EHPAD HIC DE LA PRESQU'ILE- LE CROISIC</v>
      </c>
      <c r="C3279" t="s">
        <v>78</v>
      </c>
    </row>
    <row r="3280" spans="1:3" x14ac:dyDescent="0.25">
      <c r="A3280" t="str">
        <f>"440021368"</f>
        <v>440021368</v>
      </c>
      <c r="B3280" t="str">
        <f>"EHPAD CH CHATEAUBRIANT - MAPA"</f>
        <v>EHPAD CH CHATEAUBRIANT - MAPA</v>
      </c>
      <c r="C3280" t="s">
        <v>78</v>
      </c>
    </row>
    <row r="3281" spans="1:3" x14ac:dyDescent="0.25">
      <c r="A3281" t="str">
        <f>"440022671"</f>
        <v>440022671</v>
      </c>
      <c r="B3281" t="str">
        <f>"EHPAD LES HAUTS DE ST AIGNAN"</f>
        <v>EHPAD LES HAUTS DE ST AIGNAN</v>
      </c>
      <c r="C3281" t="s">
        <v>78</v>
      </c>
    </row>
    <row r="3282" spans="1:3" x14ac:dyDescent="0.25">
      <c r="A3282" t="str">
        <f>"440022861"</f>
        <v>440022861</v>
      </c>
      <c r="B3282" t="str">
        <f>"EHPAD NOTRE DAME DE CHARITE"</f>
        <v>EHPAD NOTRE DAME DE CHARITE</v>
      </c>
      <c r="C3282" t="s">
        <v>78</v>
      </c>
    </row>
    <row r="3283" spans="1:3" x14ac:dyDescent="0.25">
      <c r="A3283" t="str">
        <f>"440022960"</f>
        <v>440022960</v>
      </c>
      <c r="B3283" t="str">
        <f>"EHPAD LA LANDE ST MARTIN"</f>
        <v>EHPAD LA LANDE ST MARTIN</v>
      </c>
      <c r="C3283" t="s">
        <v>78</v>
      </c>
    </row>
    <row r="3284" spans="1:3" x14ac:dyDescent="0.25">
      <c r="A3284" t="str">
        <f>"440023190"</f>
        <v>440023190</v>
      </c>
      <c r="B3284" t="str">
        <f>"EHPAD LA MADELEINE"</f>
        <v>EHPAD LA MADELEINE</v>
      </c>
      <c r="C3284" t="s">
        <v>78</v>
      </c>
    </row>
    <row r="3285" spans="1:3" x14ac:dyDescent="0.25">
      <c r="A3285" t="str">
        <f>"440023810"</f>
        <v>440023810</v>
      </c>
      <c r="B3285" t="str">
        <f>"EHPAD MER ET PINS"</f>
        <v>EHPAD MER ET PINS</v>
      </c>
      <c r="C3285" t="s">
        <v>78</v>
      </c>
    </row>
    <row r="3286" spans="1:3" x14ac:dyDescent="0.25">
      <c r="A3286" t="str">
        <f>"440024594"</f>
        <v>440024594</v>
      </c>
      <c r="B3286" t="str">
        <f>"EHPAD L'AUTOMNE"</f>
        <v>EHPAD L'AUTOMNE</v>
      </c>
      <c r="C3286" t="s">
        <v>78</v>
      </c>
    </row>
    <row r="3287" spans="1:3" x14ac:dyDescent="0.25">
      <c r="A3287" t="str">
        <f>"440024602"</f>
        <v>440024602</v>
      </c>
      <c r="B3287" t="str">
        <f>"EHPAD ST JOSEPH"</f>
        <v>EHPAD ST JOSEPH</v>
      </c>
      <c r="C3287" t="s">
        <v>78</v>
      </c>
    </row>
    <row r="3288" spans="1:3" x14ac:dyDescent="0.25">
      <c r="A3288" t="str">
        <f>"440024610"</f>
        <v>440024610</v>
      </c>
      <c r="B3288" t="str">
        <f>"EHPAD ST MARTIN"</f>
        <v>EHPAD ST MARTIN</v>
      </c>
      <c r="C3288" t="s">
        <v>78</v>
      </c>
    </row>
    <row r="3289" spans="1:3" x14ac:dyDescent="0.25">
      <c r="A3289" t="str">
        <f>"440024628"</f>
        <v>440024628</v>
      </c>
      <c r="B3289" t="str">
        <f>"EHPAD LE BON VIEUX TEMPS"</f>
        <v>EHPAD LE BON VIEUX TEMPS</v>
      </c>
      <c r="C3289" t="s">
        <v>78</v>
      </c>
    </row>
    <row r="3290" spans="1:3" x14ac:dyDescent="0.25">
      <c r="A3290" t="str">
        <f>"440024636"</f>
        <v>440024636</v>
      </c>
      <c r="B3290" t="str">
        <f>"EHPAD CHAMPFLEURI"</f>
        <v>EHPAD CHAMPFLEURI</v>
      </c>
      <c r="C3290" t="s">
        <v>78</v>
      </c>
    </row>
    <row r="3291" spans="1:3" x14ac:dyDescent="0.25">
      <c r="A3291" t="str">
        <f>"440024644"</f>
        <v>440024644</v>
      </c>
      <c r="B3291" t="str">
        <f>"EHPAD ROCHE MAILLARD"</f>
        <v>EHPAD ROCHE MAILLARD</v>
      </c>
      <c r="C3291" t="s">
        <v>78</v>
      </c>
    </row>
    <row r="3292" spans="1:3" x14ac:dyDescent="0.25">
      <c r="A3292" t="str">
        <f>"440024651"</f>
        <v>440024651</v>
      </c>
      <c r="B3292" t="str">
        <f>"EHPAD LE PERE LAURENT"</f>
        <v>EHPAD LE PERE LAURENT</v>
      </c>
      <c r="C3292" t="s">
        <v>78</v>
      </c>
    </row>
    <row r="3293" spans="1:3" x14ac:dyDescent="0.25">
      <c r="A3293" t="str">
        <f>"440024701"</f>
        <v>440024701</v>
      </c>
      <c r="B3293" t="str">
        <f>"EHPAD LOUIS CUBAYNES"</f>
        <v>EHPAD LOUIS CUBAYNES</v>
      </c>
      <c r="C3293" t="s">
        <v>78</v>
      </c>
    </row>
    <row r="3294" spans="1:3" x14ac:dyDescent="0.25">
      <c r="A3294" t="str">
        <f>"440024727"</f>
        <v>440024727</v>
      </c>
      <c r="B3294" t="str">
        <f>"EHPAD LES EGLANTINES"</f>
        <v>EHPAD LES EGLANTINES</v>
      </c>
      <c r="C3294" t="s">
        <v>78</v>
      </c>
    </row>
    <row r="3295" spans="1:3" x14ac:dyDescent="0.25">
      <c r="A3295" t="str">
        <f>"440024735"</f>
        <v>440024735</v>
      </c>
      <c r="B3295" t="str">
        <f>"EHPAD MAISON DE RETRAITE PROTESTANTE"</f>
        <v>EHPAD MAISON DE RETRAITE PROTESTANTE</v>
      </c>
      <c r="C3295" t="s">
        <v>78</v>
      </c>
    </row>
    <row r="3296" spans="1:3" x14ac:dyDescent="0.25">
      <c r="A3296" t="str">
        <f>"440025443"</f>
        <v>440025443</v>
      </c>
      <c r="B3296" t="str">
        <f>"EHPAD LA SAINTE FAMILLE"</f>
        <v>EHPAD LA SAINTE FAMILLE</v>
      </c>
      <c r="C3296" t="s">
        <v>78</v>
      </c>
    </row>
    <row r="3297" spans="1:3" x14ac:dyDescent="0.25">
      <c r="A3297" t="str">
        <f>"440025948"</f>
        <v>440025948</v>
      </c>
      <c r="B3297" t="str">
        <f>"EHPAD KORIAN JARDIN ATLANTIQUE"</f>
        <v>EHPAD KORIAN JARDIN ATLANTIQUE</v>
      </c>
      <c r="C3297" t="s">
        <v>78</v>
      </c>
    </row>
    <row r="3298" spans="1:3" x14ac:dyDescent="0.25">
      <c r="A3298" t="str">
        <f>"440026318"</f>
        <v>440026318</v>
      </c>
      <c r="B3298" t="str">
        <f>"EHPAD L'ACCUEIL DE LA COTE DE JADE"</f>
        <v>EHPAD L'ACCUEIL DE LA COTE DE JADE</v>
      </c>
      <c r="C3298" t="s">
        <v>78</v>
      </c>
    </row>
    <row r="3299" spans="1:3" x14ac:dyDescent="0.25">
      <c r="A3299" t="str">
        <f>"440026839"</f>
        <v>440026839</v>
      </c>
      <c r="B3299" t="str">
        <f>"EHPAD LA ROSELIERE"</f>
        <v>EHPAD LA ROSELIERE</v>
      </c>
      <c r="C3299" t="s">
        <v>78</v>
      </c>
    </row>
    <row r="3300" spans="1:3" x14ac:dyDescent="0.25">
      <c r="A3300" t="str">
        <f>"440026847"</f>
        <v>440026847</v>
      </c>
      <c r="B3300" t="str">
        <f>"EHPAD ALEXANDRE PLANCHER"</f>
        <v>EHPAD ALEXANDRE PLANCHER</v>
      </c>
      <c r="C3300" t="s">
        <v>78</v>
      </c>
    </row>
    <row r="3301" spans="1:3" x14ac:dyDescent="0.25">
      <c r="A3301" t="str">
        <f>"440027092"</f>
        <v>440027092</v>
      </c>
      <c r="B3301" t="str">
        <f>"EHPAD LE BOIS HERCE"</f>
        <v>EHPAD LE BOIS HERCE</v>
      </c>
      <c r="C3301" t="s">
        <v>78</v>
      </c>
    </row>
    <row r="3302" spans="1:3" x14ac:dyDescent="0.25">
      <c r="A3302" t="str">
        <f>"440027118"</f>
        <v>440027118</v>
      </c>
      <c r="B3302" t="str">
        <f>"EHPAD LA CHEZALIERE"</f>
        <v>EHPAD LA CHEZALIERE</v>
      </c>
      <c r="C3302" t="s">
        <v>78</v>
      </c>
    </row>
    <row r="3303" spans="1:3" x14ac:dyDescent="0.25">
      <c r="A3303" t="str">
        <f>"440028553"</f>
        <v>440028553</v>
      </c>
      <c r="B3303" t="str">
        <f>"EHPAD RICHEBOURG"</f>
        <v>EHPAD RICHEBOURG</v>
      </c>
      <c r="C3303" t="s">
        <v>78</v>
      </c>
    </row>
    <row r="3304" spans="1:3" x14ac:dyDescent="0.25">
      <c r="A3304" t="str">
        <f>"440028595"</f>
        <v>440028595</v>
      </c>
      <c r="B3304" t="str">
        <f>"EHPAD SAINT MARTIN"</f>
        <v>EHPAD SAINT MARTIN</v>
      </c>
      <c r="C3304" t="s">
        <v>78</v>
      </c>
    </row>
    <row r="3305" spans="1:3" x14ac:dyDescent="0.25">
      <c r="A3305" t="str">
        <f>"440028694"</f>
        <v>440028694</v>
      </c>
      <c r="B3305" t="str">
        <f>"EHPAD LA COTE D'AMOUR"</f>
        <v>EHPAD LA COTE D'AMOUR</v>
      </c>
      <c r="C3305" t="s">
        <v>78</v>
      </c>
    </row>
    <row r="3306" spans="1:3" x14ac:dyDescent="0.25">
      <c r="A3306" t="str">
        <f>"440028827"</f>
        <v>440028827</v>
      </c>
      <c r="B3306" t="str">
        <f>"EHPAD LE CLOS FLEURI"</f>
        <v>EHPAD LE CLOS FLEURI</v>
      </c>
      <c r="C3306" t="s">
        <v>78</v>
      </c>
    </row>
    <row r="3307" spans="1:3" x14ac:dyDescent="0.25">
      <c r="A3307" t="str">
        <f>"440028850"</f>
        <v>440028850</v>
      </c>
      <c r="B3307" t="str">
        <f>"EHPAD LA CROIX DU GUE"</f>
        <v>EHPAD LA CROIX DU GUE</v>
      </c>
      <c r="C3307" t="s">
        <v>78</v>
      </c>
    </row>
    <row r="3308" spans="1:3" x14ac:dyDescent="0.25">
      <c r="A3308" t="str">
        <f>"440028868"</f>
        <v>440028868</v>
      </c>
      <c r="B3308" t="str">
        <f>"EHPAD ST CHARLES"</f>
        <v>EHPAD ST CHARLES</v>
      </c>
      <c r="C3308" t="s">
        <v>78</v>
      </c>
    </row>
    <row r="3309" spans="1:3" x14ac:dyDescent="0.25">
      <c r="A3309" t="str">
        <f>"440028900"</f>
        <v>440028900</v>
      </c>
      <c r="B3309" t="str">
        <f>"EHPAD RENOIR"</f>
        <v>EHPAD RENOIR</v>
      </c>
      <c r="C3309" t="s">
        <v>78</v>
      </c>
    </row>
    <row r="3310" spans="1:3" x14ac:dyDescent="0.25">
      <c r="A3310" t="str">
        <f>"440028934"</f>
        <v>440028934</v>
      </c>
      <c r="B3310" t="str">
        <f>"EHPAD VAL DE BRUTZ"</f>
        <v>EHPAD VAL DE BRUTZ</v>
      </c>
      <c r="C3310" t="s">
        <v>78</v>
      </c>
    </row>
    <row r="3311" spans="1:3" x14ac:dyDescent="0.25">
      <c r="A3311" t="str">
        <f>"440029544"</f>
        <v>440029544</v>
      </c>
      <c r="B3311" t="str">
        <f>"EHPAD LE MUGUET"</f>
        <v>EHPAD LE MUGUET</v>
      </c>
      <c r="C3311" t="s">
        <v>78</v>
      </c>
    </row>
    <row r="3312" spans="1:3" x14ac:dyDescent="0.25">
      <c r="A3312" t="str">
        <f>"440029866"</f>
        <v>440029866</v>
      </c>
      <c r="B3312" t="str">
        <f>"EHPAD QUIETUS"</f>
        <v>EHPAD QUIETUS</v>
      </c>
      <c r="C3312" t="s">
        <v>78</v>
      </c>
    </row>
    <row r="3313" spans="1:3" x14ac:dyDescent="0.25">
      <c r="A3313" t="str">
        <f>"440030484"</f>
        <v>440030484</v>
      </c>
      <c r="B3313" t="str">
        <f>"EHPAD MOULIN SOLINE"</f>
        <v>EHPAD MOULIN SOLINE</v>
      </c>
      <c r="C3313" t="s">
        <v>78</v>
      </c>
    </row>
    <row r="3314" spans="1:3" x14ac:dyDescent="0.25">
      <c r="A3314" t="str">
        <f>"440030583"</f>
        <v>440030583</v>
      </c>
      <c r="B3314" t="str">
        <f>"EHPAD ANNE DE BRETAGNE"</f>
        <v>EHPAD ANNE DE BRETAGNE</v>
      </c>
      <c r="C3314" t="s">
        <v>78</v>
      </c>
    </row>
    <row r="3315" spans="1:3" x14ac:dyDescent="0.25">
      <c r="A3315" t="str">
        <f>"440030922"</f>
        <v>440030922</v>
      </c>
      <c r="B3315" t="str">
        <f>"EHPAD JACQUES BERTRAND"</f>
        <v>EHPAD JACQUES BERTRAND</v>
      </c>
      <c r="C3315" t="s">
        <v>78</v>
      </c>
    </row>
    <row r="3316" spans="1:3" x14ac:dyDescent="0.25">
      <c r="A3316" t="str">
        <f>"440032407"</f>
        <v>440032407</v>
      </c>
      <c r="B3316" t="str">
        <f>"EHPAD PORNIC"</f>
        <v>EHPAD PORNIC</v>
      </c>
      <c r="C3316" t="s">
        <v>78</v>
      </c>
    </row>
    <row r="3317" spans="1:3" x14ac:dyDescent="0.25">
      <c r="A3317" t="str">
        <f>"440032639"</f>
        <v>440032639</v>
      </c>
      <c r="B3317" t="str">
        <f>"EHPAD JEAN MACE"</f>
        <v>EHPAD JEAN MACE</v>
      </c>
      <c r="C3317" t="s">
        <v>78</v>
      </c>
    </row>
    <row r="3318" spans="1:3" x14ac:dyDescent="0.25">
      <c r="A3318" t="str">
        <f>"440033215"</f>
        <v>440033215</v>
      </c>
      <c r="B3318" t="str">
        <f>"EHPAD CAMILLE CLAUDEL"</f>
        <v>EHPAD CAMILLE CLAUDEL</v>
      </c>
      <c r="C3318" t="s">
        <v>78</v>
      </c>
    </row>
    <row r="3319" spans="1:3" x14ac:dyDescent="0.25">
      <c r="A3319" t="str">
        <f>"440033231"</f>
        <v>440033231</v>
      </c>
      <c r="B3319" t="str">
        <f>"EHPAD ANDREE ROCHEFORT"</f>
        <v>EHPAD ANDREE ROCHEFORT</v>
      </c>
      <c r="C3319" t="s">
        <v>78</v>
      </c>
    </row>
    <row r="3320" spans="1:3" x14ac:dyDescent="0.25">
      <c r="A3320" t="str">
        <f>"440033413"</f>
        <v>440033413</v>
      </c>
      <c r="B3320" t="str">
        <f>"EHPAD DU DON"</f>
        <v>EHPAD DU DON</v>
      </c>
      <c r="C3320" t="s">
        <v>78</v>
      </c>
    </row>
    <row r="3321" spans="1:3" x14ac:dyDescent="0.25">
      <c r="A3321" t="str">
        <f>"440034338"</f>
        <v>440034338</v>
      </c>
      <c r="B3321" t="str">
        <f>"EHPAD LE PARC DE DIANE"</f>
        <v>EHPAD LE PARC DE DIANE</v>
      </c>
      <c r="C3321" t="s">
        <v>78</v>
      </c>
    </row>
    <row r="3322" spans="1:3" x14ac:dyDescent="0.25">
      <c r="A3322" t="str">
        <f>"440040467"</f>
        <v>440040467</v>
      </c>
      <c r="B3322" t="str">
        <f>"EHPAD LBA - LES SOURCES DU VERDET"</f>
        <v>EHPAD LBA - LES SOURCES DU VERDET</v>
      </c>
      <c r="C3322" t="s">
        <v>78</v>
      </c>
    </row>
    <row r="3323" spans="1:3" x14ac:dyDescent="0.25">
      <c r="A3323" t="str">
        <f>"440040616"</f>
        <v>440040616</v>
      </c>
      <c r="B3323" t="str">
        <f>"EHPAD OCEANE"</f>
        <v>EHPAD OCEANE</v>
      </c>
      <c r="C3323" t="s">
        <v>78</v>
      </c>
    </row>
    <row r="3324" spans="1:3" x14ac:dyDescent="0.25">
      <c r="A3324" t="str">
        <f>"440041200"</f>
        <v>440041200</v>
      </c>
      <c r="B3324" t="str">
        <f>"EHPAD KORIAN LES CORALLINES"</f>
        <v>EHPAD KORIAN LES CORALLINES</v>
      </c>
      <c r="C3324" t="s">
        <v>78</v>
      </c>
    </row>
    <row r="3325" spans="1:3" x14ac:dyDescent="0.25">
      <c r="A3325" t="str">
        <f>"440041333"</f>
        <v>440041333</v>
      </c>
      <c r="B3325" t="str">
        <f>"EHPAD LES HORTENSIAS"</f>
        <v>EHPAD LES HORTENSIAS</v>
      </c>
      <c r="C3325" t="s">
        <v>78</v>
      </c>
    </row>
    <row r="3326" spans="1:3" x14ac:dyDescent="0.25">
      <c r="A3326" t="str">
        <f>"440041739"</f>
        <v>440041739</v>
      </c>
      <c r="B3326" t="str">
        <f>"EHPAD CREISKER"</f>
        <v>EHPAD CREISKER</v>
      </c>
      <c r="C3326" t="s">
        <v>78</v>
      </c>
    </row>
    <row r="3327" spans="1:3" x14ac:dyDescent="0.25">
      <c r="A3327" t="str">
        <f>"440041861"</f>
        <v>440041861</v>
      </c>
      <c r="B3327" t="str">
        <f>"EHPAD LA CERISAIE"</f>
        <v>EHPAD LA CERISAIE</v>
      </c>
      <c r="C3327" t="s">
        <v>78</v>
      </c>
    </row>
    <row r="3328" spans="1:3" x14ac:dyDescent="0.25">
      <c r="A3328" t="str">
        <f>"440042174"</f>
        <v>440042174</v>
      </c>
      <c r="B3328" t="str">
        <f>"EHPAD LE PORT"</f>
        <v>EHPAD LE PORT</v>
      </c>
      <c r="C3328" t="s">
        <v>78</v>
      </c>
    </row>
    <row r="3329" spans="1:3" x14ac:dyDescent="0.25">
      <c r="A3329" t="str">
        <f>"440042612"</f>
        <v>440042612</v>
      </c>
      <c r="B3329" t="str">
        <f>"EHPAD KORIAN BOIS ROBILLARD"</f>
        <v>EHPAD KORIAN BOIS ROBILLARD</v>
      </c>
      <c r="C3329" t="s">
        <v>78</v>
      </c>
    </row>
    <row r="3330" spans="1:3" x14ac:dyDescent="0.25">
      <c r="A3330" t="str">
        <f>"440042851"</f>
        <v>440042851</v>
      </c>
      <c r="B3330" t="str">
        <f>"EHPAD LE CLOS ST SEBASTIEN"</f>
        <v>EHPAD LE CLOS ST SEBASTIEN</v>
      </c>
      <c r="C3330" t="s">
        <v>78</v>
      </c>
    </row>
    <row r="3331" spans="1:3" x14ac:dyDescent="0.25">
      <c r="A3331" t="str">
        <f>"440044337"</f>
        <v>440044337</v>
      </c>
      <c r="B3331" t="str">
        <f>"EHPAD LA FORET D'ESCOUBLAC"</f>
        <v>EHPAD LA FORET D'ESCOUBLAC</v>
      </c>
      <c r="C3331" t="s">
        <v>78</v>
      </c>
    </row>
    <row r="3332" spans="1:3" x14ac:dyDescent="0.25">
      <c r="A3332" t="str">
        <f>"440044485"</f>
        <v>440044485</v>
      </c>
      <c r="B3332" t="str">
        <f>"EHPAD MAISON SAINT GABRIEL"</f>
        <v>EHPAD MAISON SAINT GABRIEL</v>
      </c>
      <c r="C3332" t="s">
        <v>78</v>
      </c>
    </row>
    <row r="3333" spans="1:3" x14ac:dyDescent="0.25">
      <c r="A3333" t="str">
        <f>"440044543"</f>
        <v>440044543</v>
      </c>
      <c r="B3333" t="str">
        <f>"EHPAD MICHELLE GUILLAUME"</f>
        <v>EHPAD MICHELLE GUILLAUME</v>
      </c>
      <c r="C3333" t="s">
        <v>78</v>
      </c>
    </row>
    <row r="3334" spans="1:3" x14ac:dyDescent="0.25">
      <c r="A3334" t="str">
        <f>"440044592"</f>
        <v>440044592</v>
      </c>
      <c r="B3334" t="str">
        <f>"EHPAD NOTRE DAME DU CHENE"</f>
        <v>EHPAD NOTRE DAME DU CHENE</v>
      </c>
      <c r="C3334" t="s">
        <v>78</v>
      </c>
    </row>
    <row r="3335" spans="1:3" x14ac:dyDescent="0.25">
      <c r="A3335" t="str">
        <f>"440044659"</f>
        <v>440044659</v>
      </c>
      <c r="B3335" t="str">
        <f>"EHPAD LE CLOS DES MURIERS"</f>
        <v>EHPAD LE CLOS DES MURIERS</v>
      </c>
      <c r="C3335" t="s">
        <v>78</v>
      </c>
    </row>
    <row r="3336" spans="1:3" x14ac:dyDescent="0.25">
      <c r="A3336" t="str">
        <f>"440044717"</f>
        <v>440044717</v>
      </c>
      <c r="B3336" t="str">
        <f>"EHPAD L'ENCHANTERIE"</f>
        <v>EHPAD L'ENCHANTERIE</v>
      </c>
      <c r="C3336" t="s">
        <v>78</v>
      </c>
    </row>
    <row r="3337" spans="1:3" x14ac:dyDescent="0.25">
      <c r="A3337" t="str">
        <f>"440045607"</f>
        <v>440045607</v>
      </c>
      <c r="B3337" t="str">
        <f>"EHPAD STE FAMILLE DE GRILLAUD"</f>
        <v>EHPAD STE FAMILLE DE GRILLAUD</v>
      </c>
      <c r="C3337" t="s">
        <v>78</v>
      </c>
    </row>
    <row r="3338" spans="1:3" x14ac:dyDescent="0.25">
      <c r="A3338" t="str">
        <f>"440046134"</f>
        <v>440046134</v>
      </c>
      <c r="B3338" t="str">
        <f>"EHPAD LA HAUTE MITRIE"</f>
        <v>EHPAD LA HAUTE MITRIE</v>
      </c>
      <c r="C3338" t="s">
        <v>78</v>
      </c>
    </row>
    <row r="3339" spans="1:3" x14ac:dyDescent="0.25">
      <c r="A3339" t="str">
        <f>"440046936"</f>
        <v>440046936</v>
      </c>
      <c r="B3339" t="str">
        <f>"EHPAD LES ORMES"</f>
        <v>EHPAD LES ORMES</v>
      </c>
      <c r="C3339" t="s">
        <v>78</v>
      </c>
    </row>
    <row r="3340" spans="1:3" x14ac:dyDescent="0.25">
      <c r="A3340" t="str">
        <f>"440047447"</f>
        <v>440047447</v>
      </c>
      <c r="B3340" t="str">
        <f>"EHPAD AOLYS"</f>
        <v>EHPAD AOLYS</v>
      </c>
      <c r="C3340" t="s">
        <v>78</v>
      </c>
    </row>
    <row r="3341" spans="1:3" x14ac:dyDescent="0.25">
      <c r="A3341" t="str">
        <f>"440047462"</f>
        <v>440047462</v>
      </c>
      <c r="B3341" t="str">
        <f>"EHPAD LES BORDS DE SEVRE"</f>
        <v>EHPAD LES BORDS DE SEVRE</v>
      </c>
      <c r="C3341" t="s">
        <v>78</v>
      </c>
    </row>
    <row r="3342" spans="1:3" x14ac:dyDescent="0.25">
      <c r="A3342" t="str">
        <f>"440047470"</f>
        <v>440047470</v>
      </c>
      <c r="B3342" t="str">
        <f>"EHPAD LE PARC DE L'AMANDE"</f>
        <v>EHPAD LE PARC DE L'AMANDE</v>
      </c>
      <c r="C3342" t="s">
        <v>78</v>
      </c>
    </row>
    <row r="3343" spans="1:3" x14ac:dyDescent="0.25">
      <c r="A3343" t="str">
        <f>"440047546"</f>
        <v>440047546</v>
      </c>
      <c r="B3343" t="str">
        <f>"EHPAD LE CLOS DE L'ÎLE MACÉ"</f>
        <v>EHPAD LE CLOS DE L'ÎLE MACÉ</v>
      </c>
      <c r="C3343" t="s">
        <v>78</v>
      </c>
    </row>
    <row r="3344" spans="1:3" x14ac:dyDescent="0.25">
      <c r="A3344" t="str">
        <f>"440047561"</f>
        <v>440047561</v>
      </c>
      <c r="B3344" t="str">
        <f>"EHPAD BEL AIR"</f>
        <v>EHPAD BEL AIR</v>
      </c>
      <c r="C3344" t="s">
        <v>78</v>
      </c>
    </row>
    <row r="3345" spans="1:3" x14ac:dyDescent="0.25">
      <c r="A3345" t="str">
        <f>"440047579"</f>
        <v>440047579</v>
      </c>
      <c r="B3345" t="str">
        <f>"EHPAD HOPITAL PIERRE DELAROCHE"</f>
        <v>EHPAD HOPITAL PIERRE DELAROCHE</v>
      </c>
      <c r="C3345" t="s">
        <v>78</v>
      </c>
    </row>
    <row r="3346" spans="1:3" x14ac:dyDescent="0.25">
      <c r="A3346" t="str">
        <f>"440047595"</f>
        <v>440047595</v>
      </c>
      <c r="B3346" t="str">
        <f>"EHPAD LA SEILLERAYE"</f>
        <v>EHPAD LA SEILLERAYE</v>
      </c>
      <c r="C3346" t="s">
        <v>78</v>
      </c>
    </row>
    <row r="3347" spans="1:3" x14ac:dyDescent="0.25">
      <c r="A3347" t="str">
        <f>"440047611"</f>
        <v>440047611</v>
      </c>
      <c r="B3347" t="str">
        <f>"EHPAD EMILE GIBIER"</f>
        <v>EHPAD EMILE GIBIER</v>
      </c>
      <c r="C3347" t="s">
        <v>78</v>
      </c>
    </row>
    <row r="3348" spans="1:3" x14ac:dyDescent="0.25">
      <c r="A3348" t="str">
        <f>"440047629"</f>
        <v>440047629</v>
      </c>
      <c r="B3348" t="str">
        <f>"EHPAD CH CHATEAUBRIANT - PARC LA LANDE"</f>
        <v>EHPAD CH CHATEAUBRIANT - PARC LA LANDE</v>
      </c>
      <c r="C3348" t="s">
        <v>78</v>
      </c>
    </row>
    <row r="3349" spans="1:3" x14ac:dyDescent="0.25">
      <c r="A3349" t="str">
        <f>"440047637"</f>
        <v>440047637</v>
      </c>
      <c r="B3349" t="str">
        <f>"EHPAD HEINLEX CH ST NAZAIRE"</f>
        <v>EHPAD HEINLEX CH ST NAZAIRE</v>
      </c>
      <c r="C3349" t="s">
        <v>78</v>
      </c>
    </row>
    <row r="3350" spans="1:3" x14ac:dyDescent="0.25">
      <c r="A3350" t="str">
        <f>"440047694"</f>
        <v>440047694</v>
      </c>
      <c r="B3350" t="str">
        <f>"EHPAD ILE DE NANTES"</f>
        <v>EHPAD ILE DE NANTES</v>
      </c>
      <c r="C3350" t="s">
        <v>78</v>
      </c>
    </row>
    <row r="3351" spans="1:3" x14ac:dyDescent="0.25">
      <c r="A3351" t="str">
        <f>"440047744"</f>
        <v>440047744</v>
      </c>
      <c r="B3351" t="str">
        <f>"EHPAD LES ECRIVAINS"</f>
        <v>EHPAD LES ECRIVAINS</v>
      </c>
      <c r="C3351" t="s">
        <v>78</v>
      </c>
    </row>
    <row r="3352" spans="1:3" x14ac:dyDescent="0.25">
      <c r="A3352" t="str">
        <f>"440048817"</f>
        <v>440048817</v>
      </c>
      <c r="B3352" t="str">
        <f>"EHPAD L'AIR DU TEMPS"</f>
        <v>EHPAD L'AIR DU TEMPS</v>
      </c>
      <c r="C3352" t="s">
        <v>78</v>
      </c>
    </row>
    <row r="3353" spans="1:3" x14ac:dyDescent="0.25">
      <c r="A3353" t="str">
        <f>"440049062"</f>
        <v>440049062</v>
      </c>
      <c r="B3353" t="str">
        <f>"EHPAD LES JARDINS DE LA CHENAIE"</f>
        <v>EHPAD LES JARDINS DE LA CHENAIE</v>
      </c>
      <c r="C3353" t="s">
        <v>78</v>
      </c>
    </row>
    <row r="3354" spans="1:3" x14ac:dyDescent="0.25">
      <c r="A3354" t="str">
        <f>"440049302"</f>
        <v>440049302</v>
      </c>
      <c r="B3354" t="str">
        <f>"EHPAD LEONTINE VIE"</f>
        <v>EHPAD LEONTINE VIE</v>
      </c>
      <c r="C3354" t="s">
        <v>78</v>
      </c>
    </row>
    <row r="3355" spans="1:3" x14ac:dyDescent="0.25">
      <c r="A3355" t="str">
        <f>"440051589"</f>
        <v>440051589</v>
      </c>
      <c r="B3355" t="str">
        <f>"EHPAD SUZANNE FLON"</f>
        <v>EHPAD SUZANNE FLON</v>
      </c>
      <c r="C3355" t="s">
        <v>78</v>
      </c>
    </row>
    <row r="3356" spans="1:3" x14ac:dyDescent="0.25">
      <c r="A3356" t="str">
        <f>"440052694"</f>
        <v>440052694</v>
      </c>
      <c r="B3356" t="str">
        <f>"EHPAD LOUISE MICHEL"</f>
        <v>EHPAD LOUISE MICHEL</v>
      </c>
      <c r="C3356" t="s">
        <v>78</v>
      </c>
    </row>
    <row r="3357" spans="1:3" x14ac:dyDescent="0.25">
      <c r="A3357" t="str">
        <f>"440052793"</f>
        <v>440052793</v>
      </c>
      <c r="B3357" t="str">
        <f>"EHPAD BEL AIR"</f>
        <v>EHPAD BEL AIR</v>
      </c>
      <c r="C3357" t="s">
        <v>78</v>
      </c>
    </row>
    <row r="3358" spans="1:3" x14ac:dyDescent="0.25">
      <c r="A3358" t="str">
        <f>"440053601"</f>
        <v>440053601</v>
      </c>
      <c r="B3358" t="str">
        <f>"EHPAD ISAC DE ROHAN - VERT PRE"</f>
        <v>EHPAD ISAC DE ROHAN - VERT PRE</v>
      </c>
      <c r="C3358" t="s">
        <v>78</v>
      </c>
    </row>
    <row r="3359" spans="1:3" x14ac:dyDescent="0.25">
      <c r="A3359" t="str">
        <f>"440060465"</f>
        <v>440060465</v>
      </c>
      <c r="B3359" t="str">
        <f>"EHPAD BEAUSEJOUR"</f>
        <v>EHPAD BEAUSEJOUR</v>
      </c>
      <c r="C3359" t="s">
        <v>78</v>
      </c>
    </row>
    <row r="3360" spans="1:3" x14ac:dyDescent="0.25">
      <c r="A3360" t="str">
        <f>"440060762"</f>
        <v>440060762</v>
      </c>
      <c r="B3360" t="str">
        <f>"EHPAD MER ET PINS"</f>
        <v>EHPAD MER ET PINS</v>
      </c>
      <c r="C3360" t="s">
        <v>78</v>
      </c>
    </row>
    <row r="3361" spans="1:3" x14ac:dyDescent="0.25">
      <c r="A3361" t="str">
        <f>"440060770"</f>
        <v>440060770</v>
      </c>
      <c r="B3361" t="str">
        <f>"EHPAD MER ET PINS"</f>
        <v>EHPAD MER ET PINS</v>
      </c>
      <c r="C3361" t="s">
        <v>78</v>
      </c>
    </row>
    <row r="3362" spans="1:3" x14ac:dyDescent="0.25">
      <c r="A3362" t="str">
        <f>"440060788"</f>
        <v>440060788</v>
      </c>
      <c r="B3362" t="str">
        <f>"EHPAD MER ET PINS"</f>
        <v>EHPAD MER ET PINS</v>
      </c>
      <c r="C3362" t="s">
        <v>78</v>
      </c>
    </row>
    <row r="3363" spans="1:3" x14ac:dyDescent="0.25">
      <c r="A3363" t="str">
        <f>"450000781"</f>
        <v>450000781</v>
      </c>
      <c r="B3363" t="str">
        <f>"EHPAD CHATEAU FONTPERTUIS"</f>
        <v>EHPAD CHATEAU FONTPERTUIS</v>
      </c>
      <c r="C3363" t="s">
        <v>63</v>
      </c>
    </row>
    <row r="3364" spans="1:3" x14ac:dyDescent="0.25">
      <c r="A3364" t="str">
        <f>"450000815"</f>
        <v>450000815</v>
      </c>
      <c r="B3364" t="str">
        <f>"EHPAD NOTRE FOYER"</f>
        <v>EHPAD NOTRE FOYER</v>
      </c>
      <c r="C3364" t="s">
        <v>63</v>
      </c>
    </row>
    <row r="3365" spans="1:3" x14ac:dyDescent="0.25">
      <c r="A3365" t="str">
        <f>"450000823"</f>
        <v>450000823</v>
      </c>
      <c r="B3365" t="str">
        <f>"EHPAD ESTHER LEROUGE"</f>
        <v>EHPAD ESTHER LEROUGE</v>
      </c>
      <c r="C3365" t="s">
        <v>63</v>
      </c>
    </row>
    <row r="3366" spans="1:3" x14ac:dyDescent="0.25">
      <c r="A3366" t="str">
        <f>"450001755"</f>
        <v>450001755</v>
      </c>
      <c r="B3366" t="str">
        <f>"EHPAD RESIDENCE SAINT MARTIN"</f>
        <v>EHPAD RESIDENCE SAINT MARTIN</v>
      </c>
      <c r="C3366" t="s">
        <v>63</v>
      </c>
    </row>
    <row r="3367" spans="1:3" x14ac:dyDescent="0.25">
      <c r="A3367" t="str">
        <f>"450002118"</f>
        <v>450002118</v>
      </c>
      <c r="B3367" t="str">
        <f>"EHPAD DES PRES"</f>
        <v>EHPAD DES PRES</v>
      </c>
      <c r="C3367" t="s">
        <v>63</v>
      </c>
    </row>
    <row r="3368" spans="1:3" x14ac:dyDescent="0.25">
      <c r="A3368" t="str">
        <f>"450002191"</f>
        <v>450002191</v>
      </c>
      <c r="B3368" t="str">
        <f>"EHPAD LA VRILLIERE"</f>
        <v>EHPAD LA VRILLIERE</v>
      </c>
      <c r="C3368" t="s">
        <v>63</v>
      </c>
    </row>
    <row r="3369" spans="1:3" x14ac:dyDescent="0.25">
      <c r="A3369" t="str">
        <f>"450002209"</f>
        <v>450002209</v>
      </c>
      <c r="B3369" t="str">
        <f>"EHPAD RESIDENCE DE LA COLLINE"</f>
        <v>EHPAD RESIDENCE DE LA COLLINE</v>
      </c>
      <c r="C3369" t="s">
        <v>63</v>
      </c>
    </row>
    <row r="3370" spans="1:3" x14ac:dyDescent="0.25">
      <c r="A3370" t="str">
        <f>"450002217"</f>
        <v>450002217</v>
      </c>
      <c r="B3370" t="str">
        <f>"EHPAD LES JARDINS DE SIDO"</f>
        <v>EHPAD LES JARDINS DE SIDO</v>
      </c>
      <c r="C3370" t="s">
        <v>63</v>
      </c>
    </row>
    <row r="3371" spans="1:3" x14ac:dyDescent="0.25">
      <c r="A3371" t="str">
        <f>"450002225"</f>
        <v>450002225</v>
      </c>
      <c r="B3371" t="str">
        <f>"EHPAD LA CHANTERELLE"</f>
        <v>EHPAD LA CHANTERELLE</v>
      </c>
      <c r="C3371" t="s">
        <v>63</v>
      </c>
    </row>
    <row r="3372" spans="1:3" x14ac:dyDescent="0.25">
      <c r="A3372" t="str">
        <f>"450002233"</f>
        <v>450002233</v>
      </c>
      <c r="B3372" t="str">
        <f>"EHPAD VILLECANTE"</f>
        <v>EHPAD VILLECANTE</v>
      </c>
      <c r="C3372" t="s">
        <v>63</v>
      </c>
    </row>
    <row r="3373" spans="1:3" x14ac:dyDescent="0.25">
      <c r="A3373" t="str">
        <f>"450002266"</f>
        <v>450002266</v>
      </c>
      <c r="B3373" t="str">
        <f>"EHPAD LA RESIDENCE D EMILIE"</f>
        <v>EHPAD LA RESIDENCE D EMILIE</v>
      </c>
      <c r="C3373" t="s">
        <v>63</v>
      </c>
    </row>
    <row r="3374" spans="1:3" x14ac:dyDescent="0.25">
      <c r="A3374" t="str">
        <f>"450002282"</f>
        <v>450002282</v>
      </c>
      <c r="B3374" t="str">
        <f>"EHPAD RESIDENCE TRIANON"</f>
        <v>EHPAD RESIDENCE TRIANON</v>
      </c>
      <c r="C3374" t="s">
        <v>63</v>
      </c>
    </row>
    <row r="3375" spans="1:3" x14ac:dyDescent="0.25">
      <c r="A3375" t="str">
        <f>"450002290"</f>
        <v>450002290</v>
      </c>
      <c r="B3375" t="str">
        <f>"EHPAD RESIDENCE DU PARC"</f>
        <v>EHPAD RESIDENCE DU PARC</v>
      </c>
      <c r="C3375" t="s">
        <v>63</v>
      </c>
    </row>
    <row r="3376" spans="1:3" x14ac:dyDescent="0.25">
      <c r="A3376" t="str">
        <f>"450002308"</f>
        <v>450002308</v>
      </c>
      <c r="B3376" t="str">
        <f>"EHPAD GASTON GIRARD"</f>
        <v>EHPAD GASTON GIRARD</v>
      </c>
      <c r="C3376" t="s">
        <v>63</v>
      </c>
    </row>
    <row r="3377" spans="1:3" x14ac:dyDescent="0.25">
      <c r="A3377" t="str">
        <f>"450002332"</f>
        <v>450002332</v>
      </c>
      <c r="B3377" t="str">
        <f>"EHPAD LE CHAMPGARNIER"</f>
        <v>EHPAD LE CHAMPGARNIER</v>
      </c>
      <c r="C3377" t="s">
        <v>63</v>
      </c>
    </row>
    <row r="3378" spans="1:3" x14ac:dyDescent="0.25">
      <c r="A3378" t="str">
        <f>"450002589"</f>
        <v>450002589</v>
      </c>
      <c r="B3378" t="str">
        <f>"EHPAD LA MOTHE"</f>
        <v>EHPAD LA MOTHE</v>
      </c>
      <c r="C3378" t="s">
        <v>63</v>
      </c>
    </row>
    <row r="3379" spans="1:3" x14ac:dyDescent="0.25">
      <c r="A3379" t="str">
        <f>"450003934"</f>
        <v>450003934</v>
      </c>
      <c r="B3379" t="str">
        <f>"EHPAD KORIAN LE BARON"</f>
        <v>EHPAD KORIAN LE BARON</v>
      </c>
      <c r="C3379" t="s">
        <v>63</v>
      </c>
    </row>
    <row r="3380" spans="1:3" x14ac:dyDescent="0.25">
      <c r="A3380" t="str">
        <f>"450004007"</f>
        <v>450004007</v>
      </c>
      <c r="B3380" t="str">
        <f>"EHPAD LES RIVES DU PUISEAUX"</f>
        <v>EHPAD LES RIVES DU PUISEAUX</v>
      </c>
      <c r="C3380" t="s">
        <v>63</v>
      </c>
    </row>
    <row r="3381" spans="1:3" x14ac:dyDescent="0.25">
      <c r="A3381" t="str">
        <f>"450004098"</f>
        <v>450004098</v>
      </c>
      <c r="B3381" t="str">
        <f>"EHPAD LES OMBRAGES"</f>
        <v>EHPAD LES OMBRAGES</v>
      </c>
      <c r="C3381" t="s">
        <v>63</v>
      </c>
    </row>
    <row r="3382" spans="1:3" x14ac:dyDescent="0.25">
      <c r="A3382" t="str">
        <f>"450005848"</f>
        <v>450005848</v>
      </c>
      <c r="B3382" t="str">
        <f>"EHPAD LE JARDIN DES SABLONS"</f>
        <v>EHPAD LE JARDIN DES SABLONS</v>
      </c>
      <c r="C3382" t="s">
        <v>63</v>
      </c>
    </row>
    <row r="3383" spans="1:3" x14ac:dyDescent="0.25">
      <c r="A3383" t="str">
        <f>"450005939"</f>
        <v>450005939</v>
      </c>
      <c r="B3383" t="str">
        <f>"EHPAD LA BOISSERIE"</f>
        <v>EHPAD LA BOISSERIE</v>
      </c>
      <c r="C3383" t="s">
        <v>63</v>
      </c>
    </row>
    <row r="3384" spans="1:3" x14ac:dyDescent="0.25">
      <c r="A3384" t="str">
        <f>"450007182"</f>
        <v>450007182</v>
      </c>
      <c r="B3384" t="str">
        <f>"EHPAD QUIETUDE"</f>
        <v>EHPAD QUIETUDE</v>
      </c>
      <c r="C3384" t="s">
        <v>63</v>
      </c>
    </row>
    <row r="3385" spans="1:3" x14ac:dyDescent="0.25">
      <c r="A3385" t="str">
        <f>"450007208"</f>
        <v>450007208</v>
      </c>
      <c r="B3385" t="str">
        <f>"EHPAD  LES TILLEULS"</f>
        <v>EHPAD  LES TILLEULS</v>
      </c>
      <c r="C3385" t="s">
        <v>63</v>
      </c>
    </row>
    <row r="3386" spans="1:3" x14ac:dyDescent="0.25">
      <c r="A3386" t="str">
        <f>"450007307"</f>
        <v>450007307</v>
      </c>
      <c r="B3386" t="str">
        <f>"EHPAD RAYMOND POULIN"</f>
        <v>EHPAD RAYMOND POULIN</v>
      </c>
      <c r="C3386" t="s">
        <v>63</v>
      </c>
    </row>
    <row r="3387" spans="1:3" x14ac:dyDescent="0.25">
      <c r="A3387" t="str">
        <f>"450007406"</f>
        <v>450007406</v>
      </c>
      <c r="B3387" t="str">
        <f>"EHPAD RESIDENCE L AUBINIERE"</f>
        <v>EHPAD RESIDENCE L AUBINIERE</v>
      </c>
      <c r="C3387" t="s">
        <v>63</v>
      </c>
    </row>
    <row r="3388" spans="1:3" x14ac:dyDescent="0.25">
      <c r="A3388" t="str">
        <f>"450007679"</f>
        <v>450007679</v>
      </c>
      <c r="B3388" t="str">
        <f>"EHPAD MA MAISON"</f>
        <v>EHPAD MA MAISON</v>
      </c>
      <c r="C3388" t="s">
        <v>63</v>
      </c>
    </row>
    <row r="3389" spans="1:3" x14ac:dyDescent="0.25">
      <c r="A3389" t="str">
        <f>"450007687"</f>
        <v>450007687</v>
      </c>
      <c r="B3389" t="str">
        <f>"EHPAD NAZARETH"</f>
        <v>EHPAD NAZARETH</v>
      </c>
      <c r="C3389" t="s">
        <v>63</v>
      </c>
    </row>
    <row r="3390" spans="1:3" x14ac:dyDescent="0.25">
      <c r="A3390" t="str">
        <f>"450007703"</f>
        <v>450007703</v>
      </c>
      <c r="B3390" t="str">
        <f>"EHPAD KORIAN LE SAINTIER (EX LILARDIER"</f>
        <v>EHPAD KORIAN LE SAINTIER (EX LILARDIER</v>
      </c>
      <c r="C3390" t="s">
        <v>63</v>
      </c>
    </row>
    <row r="3391" spans="1:3" x14ac:dyDescent="0.25">
      <c r="A3391" t="str">
        <f>"450009485"</f>
        <v>450009485</v>
      </c>
      <c r="B3391" t="str">
        <f>"EHPAD LOUR PICOU"</f>
        <v>EHPAD LOUR PICOU</v>
      </c>
      <c r="C3391" t="s">
        <v>63</v>
      </c>
    </row>
    <row r="3392" spans="1:3" x14ac:dyDescent="0.25">
      <c r="A3392" t="str">
        <f>"450009691"</f>
        <v>450009691</v>
      </c>
      <c r="B3392" t="str">
        <f>"EHPAD LE RELAIS DE LA VALLEE"</f>
        <v>EHPAD LE RELAIS DE LA VALLEE</v>
      </c>
      <c r="C3392" t="s">
        <v>63</v>
      </c>
    </row>
    <row r="3393" spans="1:3" x14ac:dyDescent="0.25">
      <c r="A3393" t="str">
        <f>"450010103"</f>
        <v>450010103</v>
      </c>
      <c r="B3393" t="str">
        <f>"EHPAD DU CH DE NEUVILLE AUX BOIS"</f>
        <v>EHPAD DU CH DE NEUVILLE AUX BOIS</v>
      </c>
      <c r="C3393" t="s">
        <v>63</v>
      </c>
    </row>
    <row r="3394" spans="1:3" x14ac:dyDescent="0.25">
      <c r="A3394" t="str">
        <f>"450010129"</f>
        <v>450010129</v>
      </c>
      <c r="B3394" t="str">
        <f>"EHPAD DU CH BEAUNE LA ROLANDE"</f>
        <v>EHPAD DU CH BEAUNE LA ROLANDE</v>
      </c>
      <c r="C3394" t="s">
        <v>63</v>
      </c>
    </row>
    <row r="3395" spans="1:3" x14ac:dyDescent="0.25">
      <c r="A3395" t="str">
        <f>"450010137"</f>
        <v>450010137</v>
      </c>
      <c r="B3395" t="str">
        <f>"EHPAD DU CH DE SULLY SUR LOIRE"</f>
        <v>EHPAD DU CH DE SULLY SUR LOIRE</v>
      </c>
      <c r="C3395" t="s">
        <v>63</v>
      </c>
    </row>
    <row r="3396" spans="1:3" x14ac:dyDescent="0.25">
      <c r="A3396" t="str">
        <f>"450010392"</f>
        <v>450010392</v>
      </c>
      <c r="B3396" t="str">
        <f>"EHPAD KORIAN REFLET DE LOIRE"</f>
        <v>EHPAD KORIAN REFLET DE LOIRE</v>
      </c>
      <c r="C3396" t="s">
        <v>63</v>
      </c>
    </row>
    <row r="3397" spans="1:3" x14ac:dyDescent="0.25">
      <c r="A3397" t="str">
        <f>"450010434"</f>
        <v>450010434</v>
      </c>
      <c r="B3397" t="str">
        <f>"EHPAD AU FIL DE L EAU"</f>
        <v>EHPAD AU FIL DE L EAU</v>
      </c>
      <c r="C3397" t="s">
        <v>63</v>
      </c>
    </row>
    <row r="3398" spans="1:3" x14ac:dyDescent="0.25">
      <c r="A3398" t="str">
        <f>"450010459"</f>
        <v>450010459</v>
      </c>
      <c r="B3398" t="str">
        <f>"EHPAD LES ECUREUILS"</f>
        <v>EHPAD LES ECUREUILS</v>
      </c>
      <c r="C3398" t="s">
        <v>63</v>
      </c>
    </row>
    <row r="3399" spans="1:3" x14ac:dyDescent="0.25">
      <c r="A3399" t="str">
        <f>"450010483"</f>
        <v>450010483</v>
      </c>
      <c r="B3399" t="str">
        <f>"EHPAD DU CH DE GIEN"</f>
        <v>EHPAD DU CH DE GIEN</v>
      </c>
      <c r="C3399" t="s">
        <v>63</v>
      </c>
    </row>
    <row r="3400" spans="1:3" x14ac:dyDescent="0.25">
      <c r="A3400" t="str">
        <f>"450010764"</f>
        <v>450010764</v>
      </c>
      <c r="B3400" t="str">
        <f>"EHPAD LA MAISON FLEURIE"</f>
        <v>EHPAD LA MAISON FLEURIE</v>
      </c>
      <c r="C3400" t="s">
        <v>63</v>
      </c>
    </row>
    <row r="3401" spans="1:3" x14ac:dyDescent="0.25">
      <c r="A3401" t="str">
        <f>"450012067"</f>
        <v>450012067</v>
      </c>
      <c r="B3401" t="str">
        <f>"EHPAD SAINT JEAN"</f>
        <v>EHPAD SAINT JEAN</v>
      </c>
      <c r="C3401" t="s">
        <v>63</v>
      </c>
    </row>
    <row r="3402" spans="1:3" x14ac:dyDescent="0.25">
      <c r="A3402" t="str">
        <f>"450012505"</f>
        <v>450012505</v>
      </c>
      <c r="B3402" t="str">
        <f>"EHPAD KORIAN RESIDENCE SANTEL"</f>
        <v>EHPAD KORIAN RESIDENCE SANTEL</v>
      </c>
      <c r="C3402" t="s">
        <v>63</v>
      </c>
    </row>
    <row r="3403" spans="1:3" x14ac:dyDescent="0.25">
      <c r="A3403" t="str">
        <f>"450012679"</f>
        <v>450012679</v>
      </c>
      <c r="B3403" t="str">
        <f>"EHPAD RESIDENCE SAINT JOSEPH"</f>
        <v>EHPAD RESIDENCE SAINT JOSEPH</v>
      </c>
      <c r="C3403" t="s">
        <v>63</v>
      </c>
    </row>
    <row r="3404" spans="1:3" x14ac:dyDescent="0.25">
      <c r="A3404" t="str">
        <f>"450012729"</f>
        <v>450012729</v>
      </c>
      <c r="B3404" t="str">
        <f>"EHPAD HOSTELLERIE DU CHATEAU"</f>
        <v>EHPAD HOSTELLERIE DU CHATEAU</v>
      </c>
      <c r="C3404" t="s">
        <v>63</v>
      </c>
    </row>
    <row r="3405" spans="1:3" x14ac:dyDescent="0.25">
      <c r="A3405" t="str">
        <f>"450012810"</f>
        <v>450012810</v>
      </c>
      <c r="B3405" t="str">
        <f>"EHPAD RESIDENCE SAINTE CECILE"</f>
        <v>EHPAD RESIDENCE SAINTE CECILE</v>
      </c>
      <c r="C3405" t="s">
        <v>63</v>
      </c>
    </row>
    <row r="3406" spans="1:3" x14ac:dyDescent="0.25">
      <c r="A3406" t="str">
        <f>"450012828"</f>
        <v>450012828</v>
      </c>
      <c r="B3406" t="str">
        <f>"EHPAD KORIAN REINE BLANCHE"</f>
        <v>EHPAD KORIAN REINE BLANCHE</v>
      </c>
      <c r="C3406" t="s">
        <v>63</v>
      </c>
    </row>
    <row r="3407" spans="1:3" x14ac:dyDescent="0.25">
      <c r="A3407" t="str">
        <f>"450013594"</f>
        <v>450013594</v>
      </c>
      <c r="B3407" t="str">
        <f>"EHPAD LA SOURCE"</f>
        <v>EHPAD LA SOURCE</v>
      </c>
      <c r="C3407" t="s">
        <v>63</v>
      </c>
    </row>
    <row r="3408" spans="1:3" x14ac:dyDescent="0.25">
      <c r="A3408" t="str">
        <f>"450013909"</f>
        <v>450013909</v>
      </c>
      <c r="B3408" t="str">
        <f>"EHPAD KORIAN CHATEAU DES LANDES"</f>
        <v>EHPAD KORIAN CHATEAU DES LANDES</v>
      </c>
      <c r="C3408" t="s">
        <v>63</v>
      </c>
    </row>
    <row r="3409" spans="1:3" x14ac:dyDescent="0.25">
      <c r="A3409" t="str">
        <f>"450013966"</f>
        <v>450013966</v>
      </c>
      <c r="B3409" t="str">
        <f>"EHPAD LE LAC DE ST PRYVE- GROUPE EMERA"</f>
        <v>EHPAD LE LAC DE ST PRYVE- GROUPE EMERA</v>
      </c>
      <c r="C3409" t="s">
        <v>63</v>
      </c>
    </row>
    <row r="3410" spans="1:3" x14ac:dyDescent="0.25">
      <c r="A3410" t="str">
        <f>"450013974"</f>
        <v>450013974</v>
      </c>
      <c r="B3410" t="str">
        <f>"EHPAD LES JARDINS D ELEONORE"</f>
        <v>EHPAD LES JARDINS D ELEONORE</v>
      </c>
      <c r="C3410" t="s">
        <v>63</v>
      </c>
    </row>
    <row r="3411" spans="1:3" x14ac:dyDescent="0.25">
      <c r="A3411" t="str">
        <f>"450014162"</f>
        <v>450014162</v>
      </c>
      <c r="B3411" t="str">
        <f>"PUV JERICHO"</f>
        <v>PUV JERICHO</v>
      </c>
      <c r="C3411" t="s">
        <v>63</v>
      </c>
    </row>
    <row r="3412" spans="1:3" x14ac:dyDescent="0.25">
      <c r="A3412" t="str">
        <f>"450014188"</f>
        <v>450014188</v>
      </c>
      <c r="B3412" t="str">
        <f>"EHPAD LES PINELLES"</f>
        <v>EHPAD LES PINELLES</v>
      </c>
      <c r="C3412" t="s">
        <v>63</v>
      </c>
    </row>
    <row r="3413" spans="1:3" x14ac:dyDescent="0.25">
      <c r="A3413" t="str">
        <f>"450014238"</f>
        <v>450014238</v>
      </c>
      <c r="B3413" t="str">
        <f>"EHPAD ALTHAEA"</f>
        <v>EHPAD ALTHAEA</v>
      </c>
      <c r="C3413" t="s">
        <v>63</v>
      </c>
    </row>
    <row r="3414" spans="1:3" x14ac:dyDescent="0.25">
      <c r="A3414" t="str">
        <f>"450014246"</f>
        <v>450014246</v>
      </c>
      <c r="B3414" t="str">
        <f>"EHPAD LE BUISSON"</f>
        <v>EHPAD LE BUISSON</v>
      </c>
      <c r="C3414" t="s">
        <v>63</v>
      </c>
    </row>
    <row r="3415" spans="1:3" x14ac:dyDescent="0.25">
      <c r="A3415" t="str">
        <f>"450014303"</f>
        <v>450014303</v>
      </c>
      <c r="B3415" t="str">
        <f>"EHPAD PIERRE PAGOT"</f>
        <v>EHPAD PIERRE PAGOT</v>
      </c>
      <c r="C3415" t="s">
        <v>63</v>
      </c>
    </row>
    <row r="3416" spans="1:3" x14ac:dyDescent="0.25">
      <c r="A3416" t="str">
        <f>"450014535"</f>
        <v>450014535</v>
      </c>
      <c r="B3416" t="str">
        <f>"EHPAD LA CHAPELLE"</f>
        <v>EHPAD LA CHAPELLE</v>
      </c>
      <c r="C3416" t="s">
        <v>63</v>
      </c>
    </row>
    <row r="3417" spans="1:3" x14ac:dyDescent="0.25">
      <c r="A3417" t="str">
        <f>"450014568"</f>
        <v>450014568</v>
      </c>
      <c r="B3417" t="str">
        <f>"EHPAD LE PARC DES MAUVES"</f>
        <v>EHPAD LE PARC DES MAUVES</v>
      </c>
      <c r="C3417" t="s">
        <v>63</v>
      </c>
    </row>
    <row r="3418" spans="1:3" x14ac:dyDescent="0.25">
      <c r="A3418" t="str">
        <f>"450014691"</f>
        <v>450014691</v>
      </c>
      <c r="B3418" t="str">
        <f>"EHPAD PIERRE MONDINE"</f>
        <v>EHPAD PIERRE MONDINE</v>
      </c>
      <c r="C3418" t="s">
        <v>63</v>
      </c>
    </row>
    <row r="3419" spans="1:3" x14ac:dyDescent="0.25">
      <c r="A3419" t="str">
        <f>"450015250"</f>
        <v>450015250</v>
      </c>
      <c r="B3419" t="str">
        <f>"EHPAD CHATEAU DE LA MANDERIE"</f>
        <v>EHPAD CHATEAU DE LA MANDERIE</v>
      </c>
      <c r="C3419" t="s">
        <v>63</v>
      </c>
    </row>
    <row r="3420" spans="1:3" x14ac:dyDescent="0.25">
      <c r="A3420" t="str">
        <f>"450015276"</f>
        <v>450015276</v>
      </c>
      <c r="B3420" t="str">
        <f>"EHPAD LES HIRONDELLES"</f>
        <v>EHPAD LES HIRONDELLES</v>
      </c>
      <c r="C3420" t="s">
        <v>63</v>
      </c>
    </row>
    <row r="3421" spans="1:3" x14ac:dyDescent="0.25">
      <c r="A3421" t="str">
        <f>"450015383"</f>
        <v>450015383</v>
      </c>
      <c r="B3421" t="str">
        <f>"EHPAD LES JARDINS DE LA LOIRE"</f>
        <v>EHPAD LES JARDINS DE LA LOIRE</v>
      </c>
      <c r="C3421" t="s">
        <v>63</v>
      </c>
    </row>
    <row r="3422" spans="1:3" x14ac:dyDescent="0.25">
      <c r="A3422" t="str">
        <f>"450016308"</f>
        <v>450016308</v>
      </c>
      <c r="B3422" t="str">
        <f>"EHPAD RESIDENCE LES PATUREAUX"</f>
        <v>EHPAD RESIDENCE LES PATUREAUX</v>
      </c>
      <c r="C3422" t="s">
        <v>63</v>
      </c>
    </row>
    <row r="3423" spans="1:3" x14ac:dyDescent="0.25">
      <c r="A3423" t="str">
        <f>"450017744"</f>
        <v>450017744</v>
      </c>
      <c r="B3423" t="str">
        <f>"EHPAD LA CLAIRIERE"</f>
        <v>EHPAD LA CLAIRIERE</v>
      </c>
      <c r="C3423" t="s">
        <v>63</v>
      </c>
    </row>
    <row r="3424" spans="1:3" x14ac:dyDescent="0.25">
      <c r="A3424" t="str">
        <f>"450018908"</f>
        <v>450018908</v>
      </c>
      <c r="B3424" t="str">
        <f>"EHPAD LE BOIS FLEURI"</f>
        <v>EHPAD LE BOIS FLEURI</v>
      </c>
      <c r="C3424" t="s">
        <v>63</v>
      </c>
    </row>
    <row r="3425" spans="1:3" x14ac:dyDescent="0.25">
      <c r="A3425" t="str">
        <f>"450018940"</f>
        <v>450018940</v>
      </c>
      <c r="B3425" t="str">
        <f>"EHPAD RESIDENCE VALOIS (GROUPE DOMUSVI"</f>
        <v>EHPAD RESIDENCE VALOIS (GROUPE DOMUSVI</v>
      </c>
      <c r="C3425" t="s">
        <v>63</v>
      </c>
    </row>
    <row r="3426" spans="1:3" x14ac:dyDescent="0.25">
      <c r="A3426" t="str">
        <f>"450019054"</f>
        <v>450019054</v>
      </c>
      <c r="B3426" t="str">
        <f>"EHPAD LA RESIDENCE DU PORT"</f>
        <v>EHPAD LA RESIDENCE DU PORT</v>
      </c>
      <c r="C3426" t="s">
        <v>63</v>
      </c>
    </row>
    <row r="3427" spans="1:3" x14ac:dyDescent="0.25">
      <c r="A3427" t="str">
        <f>"450019781"</f>
        <v>450019781</v>
      </c>
      <c r="B3427" t="str">
        <f>"EHPAD LA CERISAIE"</f>
        <v>EHPAD LA CERISAIE</v>
      </c>
      <c r="C3427" t="s">
        <v>63</v>
      </c>
    </row>
    <row r="3428" spans="1:3" x14ac:dyDescent="0.25">
      <c r="A3428" t="str">
        <f>"450023353"</f>
        <v>450023353</v>
      </c>
      <c r="B3428" t="str">
        <f>"EHPAD PETIT PIERRE"</f>
        <v>EHPAD PETIT PIERRE</v>
      </c>
      <c r="C3428" t="s">
        <v>63</v>
      </c>
    </row>
    <row r="3429" spans="1:3" x14ac:dyDescent="0.25">
      <c r="A3429" t="str">
        <f>"460002462"</f>
        <v>460002462</v>
      </c>
      <c r="B3429" t="str">
        <f>"EHPAD RESIDENCE DU PETIT BOIS"</f>
        <v>EHPAD RESIDENCE DU PETIT BOIS</v>
      </c>
      <c r="C3429" t="s">
        <v>77</v>
      </c>
    </row>
    <row r="3430" spans="1:3" x14ac:dyDescent="0.25">
      <c r="A3430" t="str">
        <f>"460002868"</f>
        <v>460002868</v>
      </c>
      <c r="B3430" t="str">
        <f>"EHPAD BEAUSEJOUR"</f>
        <v>EHPAD BEAUSEJOUR</v>
      </c>
      <c r="C3430" t="s">
        <v>77</v>
      </c>
    </row>
    <row r="3431" spans="1:3" x14ac:dyDescent="0.25">
      <c r="A3431" t="str">
        <f>"460004989"</f>
        <v>460004989</v>
      </c>
      <c r="B3431" t="str">
        <f>"EHPAD BATAILLE"</f>
        <v>EHPAD BATAILLE</v>
      </c>
      <c r="C3431" t="s">
        <v>77</v>
      </c>
    </row>
    <row r="3432" spans="1:3" x14ac:dyDescent="0.25">
      <c r="A3432" t="str">
        <f>"460005374"</f>
        <v>460005374</v>
      </c>
      <c r="B3432" t="str">
        <f>"EHPAD RESIDENCE  D'OLT CAHORS"</f>
        <v>EHPAD RESIDENCE  D'OLT CAHORS</v>
      </c>
      <c r="C3432" t="s">
        <v>77</v>
      </c>
    </row>
    <row r="3433" spans="1:3" x14ac:dyDescent="0.25">
      <c r="A3433" t="str">
        <f>"460005671"</f>
        <v>460005671</v>
      </c>
      <c r="B3433" t="str">
        <f>"EHPAD 'RESIDENCE LA BARTE'"</f>
        <v>EHPAD 'RESIDENCE LA BARTE'</v>
      </c>
      <c r="C3433" t="s">
        <v>77</v>
      </c>
    </row>
    <row r="3434" spans="1:3" x14ac:dyDescent="0.25">
      <c r="A3434" t="str">
        <f>"460780281"</f>
        <v>460780281</v>
      </c>
      <c r="B3434" t="str">
        <f>"LES RESIDENCES DU QUERCY BLANC"</f>
        <v>LES RESIDENCES DU QUERCY BLANC</v>
      </c>
      <c r="C3434" t="s">
        <v>77</v>
      </c>
    </row>
    <row r="3435" spans="1:3" x14ac:dyDescent="0.25">
      <c r="A3435" t="str">
        <f>"460780299"</f>
        <v>460780299</v>
      </c>
      <c r="B3435" t="str">
        <f>"EHPAD LES CONSULS"</f>
        <v>EHPAD LES CONSULS</v>
      </c>
      <c r="C3435" t="s">
        <v>77</v>
      </c>
    </row>
    <row r="3436" spans="1:3" x14ac:dyDescent="0.25">
      <c r="A3436" t="str">
        <f>"460780307"</f>
        <v>460780307</v>
      </c>
      <c r="B3436" t="str">
        <f>"EHPAD LES RESIDENCES DU QUERCY BLANC"</f>
        <v>EHPAD LES RESIDENCES DU QUERCY BLANC</v>
      </c>
      <c r="C3436" t="s">
        <v>77</v>
      </c>
    </row>
    <row r="3437" spans="1:3" x14ac:dyDescent="0.25">
      <c r="A3437" t="str">
        <f>"460780315"</f>
        <v>460780315</v>
      </c>
      <c r="B3437" t="str">
        <f>"EHPAD LES BALCONS DU LOT"</f>
        <v>EHPAD LES BALCONS DU LOT</v>
      </c>
      <c r="C3437" t="s">
        <v>77</v>
      </c>
    </row>
    <row r="3438" spans="1:3" x14ac:dyDescent="0.25">
      <c r="A3438" t="str">
        <f>"460780323"</f>
        <v>460780323</v>
      </c>
      <c r="B3438" t="str">
        <f>"EHPAD LES LAVANDES"</f>
        <v>EHPAD LES LAVANDES</v>
      </c>
      <c r="C3438" t="s">
        <v>77</v>
      </c>
    </row>
    <row r="3439" spans="1:3" x14ac:dyDescent="0.25">
      <c r="A3439" t="str">
        <f>"460780331"</f>
        <v>460780331</v>
      </c>
      <c r="B3439" t="str">
        <f>"EHPAD LA MAISON DE MELANIE"</f>
        <v>EHPAD LA MAISON DE MELANIE</v>
      </c>
      <c r="C3439" t="s">
        <v>77</v>
      </c>
    </row>
    <row r="3440" spans="1:3" x14ac:dyDescent="0.25">
      <c r="A3440" t="str">
        <f>"460780364"</f>
        <v>460780364</v>
      </c>
      <c r="B3440" t="str">
        <f>"EHPAD L'ETOILE DU SOIR"</f>
        <v>EHPAD L'ETOILE DU SOIR</v>
      </c>
      <c r="C3440" t="s">
        <v>77</v>
      </c>
    </row>
    <row r="3441" spans="1:3" x14ac:dyDescent="0.25">
      <c r="A3441" t="str">
        <f>"460780406"</f>
        <v>460780406</v>
      </c>
      <c r="B3441" t="str">
        <f>"EHPAD LE MOUTIER NOTRE DAME"</f>
        <v>EHPAD LE MOUTIER NOTRE DAME</v>
      </c>
      <c r="C3441" t="s">
        <v>77</v>
      </c>
    </row>
    <row r="3442" spans="1:3" x14ac:dyDescent="0.25">
      <c r="A3442" t="str">
        <f>"460780539"</f>
        <v>460780539</v>
      </c>
      <c r="B3442" t="str">
        <f>"EHPAD PIERRE BONHOMME"</f>
        <v>EHPAD PIERRE BONHOMME</v>
      </c>
      <c r="C3442" t="s">
        <v>77</v>
      </c>
    </row>
    <row r="3443" spans="1:3" x14ac:dyDescent="0.25">
      <c r="A3443" t="str">
        <f>"460781651"</f>
        <v>460781651</v>
      </c>
      <c r="B3443" t="str">
        <f>"EHPAD LA MISERICORDE"</f>
        <v>EHPAD LA MISERICORDE</v>
      </c>
      <c r="C3443" t="s">
        <v>77</v>
      </c>
    </row>
    <row r="3444" spans="1:3" x14ac:dyDescent="0.25">
      <c r="A3444" t="str">
        <f>"460781669"</f>
        <v>460781669</v>
      </c>
      <c r="B3444" t="str">
        <f>"EHPAD 'JACQUES DUMAS'"</f>
        <v>EHPAD 'JACQUES DUMAS'</v>
      </c>
      <c r="C3444" t="s">
        <v>77</v>
      </c>
    </row>
    <row r="3445" spans="1:3" x14ac:dyDescent="0.25">
      <c r="A3445" t="str">
        <f>"460781677"</f>
        <v>460781677</v>
      </c>
      <c r="B3445" t="str">
        <f>"EHPAD RESIDENCE VALPRE"</f>
        <v>EHPAD RESIDENCE VALPRE</v>
      </c>
      <c r="C3445" t="s">
        <v>77</v>
      </c>
    </row>
    <row r="3446" spans="1:3" x14ac:dyDescent="0.25">
      <c r="A3446" t="str">
        <f>"460781768"</f>
        <v>460781768</v>
      </c>
      <c r="B3446" t="str">
        <f>"EHPAD VAL DU CELE"</f>
        <v>EHPAD VAL DU CELE</v>
      </c>
      <c r="C3446" t="s">
        <v>77</v>
      </c>
    </row>
    <row r="3447" spans="1:3" x14ac:dyDescent="0.25">
      <c r="A3447" t="str">
        <f>"460781990"</f>
        <v>460781990</v>
      </c>
      <c r="B3447" t="str">
        <f>"EHPAD MONTVIGUIER SITE CH FIGEAC"</f>
        <v>EHPAD MONTVIGUIER SITE CH FIGEAC</v>
      </c>
      <c r="C3447" t="s">
        <v>77</v>
      </c>
    </row>
    <row r="3448" spans="1:3" x14ac:dyDescent="0.25">
      <c r="A3448" t="str">
        <f>"460784424"</f>
        <v>460784424</v>
      </c>
      <c r="B3448" t="str">
        <f>"EHPAD  CH J.COULON GOURDON"</f>
        <v>EHPAD  CH J.COULON GOURDON</v>
      </c>
      <c r="C3448" t="s">
        <v>77</v>
      </c>
    </row>
    <row r="3449" spans="1:3" x14ac:dyDescent="0.25">
      <c r="A3449" t="str">
        <f>"460785603"</f>
        <v>460785603</v>
      </c>
      <c r="B3449" t="str">
        <f>"EHPAD LA ROSERAIE"</f>
        <v>EHPAD LA ROSERAIE</v>
      </c>
      <c r="C3449" t="s">
        <v>77</v>
      </c>
    </row>
    <row r="3450" spans="1:3" x14ac:dyDescent="0.25">
      <c r="A3450" t="str">
        <f>"460785744"</f>
        <v>460785744</v>
      </c>
      <c r="B3450" t="str">
        <f>"EHPAD LE SOULEILHOU"</f>
        <v>EHPAD LE SOULEILHOU</v>
      </c>
      <c r="C3450" t="s">
        <v>77</v>
      </c>
    </row>
    <row r="3451" spans="1:3" x14ac:dyDescent="0.25">
      <c r="A3451" t="str">
        <f>"460785751"</f>
        <v>460785751</v>
      </c>
      <c r="B3451" t="str">
        <f>"EHPAD 'LA CASCADE'"</f>
        <v>EHPAD 'LA CASCADE'</v>
      </c>
      <c r="C3451" t="s">
        <v>77</v>
      </c>
    </row>
    <row r="3452" spans="1:3" x14ac:dyDescent="0.25">
      <c r="A3452" t="str">
        <f>"460785850"</f>
        <v>460785850</v>
      </c>
      <c r="B3452" t="str">
        <f>"EHPAD LOUIS CONTE"</f>
        <v>EHPAD LOUIS CONTE</v>
      </c>
      <c r="C3452" t="s">
        <v>77</v>
      </c>
    </row>
    <row r="3453" spans="1:3" x14ac:dyDescent="0.25">
      <c r="A3453" t="str">
        <f>"460785892"</f>
        <v>460785892</v>
      </c>
      <c r="B3453" t="str">
        <f>"EHPAD ROBERT DURRIEU"</f>
        <v>EHPAD ROBERT DURRIEU</v>
      </c>
      <c r="C3453" t="s">
        <v>77</v>
      </c>
    </row>
    <row r="3454" spans="1:3" x14ac:dyDescent="0.25">
      <c r="A3454" t="str">
        <f>"460785926"</f>
        <v>460785926</v>
      </c>
      <c r="B3454" t="str">
        <f>"EHPAD ARC EN CIEL"</f>
        <v>EHPAD ARC EN CIEL</v>
      </c>
      <c r="C3454" t="s">
        <v>77</v>
      </c>
    </row>
    <row r="3455" spans="1:3" x14ac:dyDescent="0.25">
      <c r="A3455" t="str">
        <f>"460786049"</f>
        <v>460786049</v>
      </c>
      <c r="B3455" t="str">
        <f>"EHPAD RES. ORPEA LES RIVES DE CABESSUT"</f>
        <v>EHPAD RES. ORPEA LES RIVES DE CABESSUT</v>
      </c>
      <c r="C3455" t="s">
        <v>77</v>
      </c>
    </row>
    <row r="3456" spans="1:3" x14ac:dyDescent="0.25">
      <c r="A3456" t="str">
        <f>"460786429"</f>
        <v>460786429</v>
      </c>
      <c r="B3456" t="str">
        <f>"EHPAD LA BALME"</f>
        <v>EHPAD LA BALME</v>
      </c>
      <c r="C3456" t="s">
        <v>77</v>
      </c>
    </row>
    <row r="3457" spans="1:3" x14ac:dyDescent="0.25">
      <c r="A3457" t="str">
        <f>"460786502"</f>
        <v>460786502</v>
      </c>
      <c r="B3457" t="str">
        <f>"EHPAD LE BAILLOT"</f>
        <v>EHPAD LE BAILLOT</v>
      </c>
      <c r="C3457" t="s">
        <v>77</v>
      </c>
    </row>
    <row r="3458" spans="1:3" x14ac:dyDescent="0.25">
      <c r="A3458" t="str">
        <f>"460786569"</f>
        <v>460786569</v>
      </c>
      <c r="B3458" t="str">
        <f>"EHPAD CHARLES DE GAULLE"</f>
        <v>EHPAD CHARLES DE GAULLE</v>
      </c>
      <c r="C3458" t="s">
        <v>77</v>
      </c>
    </row>
    <row r="3459" spans="1:3" x14ac:dyDescent="0.25">
      <c r="A3459" t="str">
        <f>"460786692"</f>
        <v>460786692</v>
      </c>
      <c r="B3459" t="str">
        <f>"EHPAD LES LOGIS DE L'IMPERNAL"</f>
        <v>EHPAD LES LOGIS DE L'IMPERNAL</v>
      </c>
      <c r="C3459" t="s">
        <v>77</v>
      </c>
    </row>
    <row r="3460" spans="1:3" x14ac:dyDescent="0.25">
      <c r="A3460" t="str">
        <f>"460786932"</f>
        <v>460786932</v>
      </c>
      <c r="B3460" t="str">
        <f>"EHPAD PRE D'AUBIE"</f>
        <v>EHPAD PRE D'AUBIE</v>
      </c>
      <c r="C3460" t="s">
        <v>77</v>
      </c>
    </row>
    <row r="3461" spans="1:3" x14ac:dyDescent="0.25">
      <c r="A3461" t="str">
        <f>"460786957"</f>
        <v>460786957</v>
      </c>
      <c r="B3461" t="str">
        <f>"EHPAD RESIDENCE SAINT-ASTIER"</f>
        <v>EHPAD RESIDENCE SAINT-ASTIER</v>
      </c>
      <c r="C3461" t="s">
        <v>77</v>
      </c>
    </row>
    <row r="3462" spans="1:3" x14ac:dyDescent="0.25">
      <c r="A3462" t="str">
        <f>"460787039"</f>
        <v>460787039</v>
      </c>
      <c r="B3462" t="str">
        <f>"EHPAD LES SEGALINES"</f>
        <v>EHPAD LES SEGALINES</v>
      </c>
      <c r="C3462" t="s">
        <v>77</v>
      </c>
    </row>
    <row r="3463" spans="1:3" x14ac:dyDescent="0.25">
      <c r="A3463" t="str">
        <f>"460787203"</f>
        <v>460787203</v>
      </c>
      <c r="B3463" t="str">
        <f>"EHPAD LES PRADELS"</f>
        <v>EHPAD LES PRADELS</v>
      </c>
      <c r="C3463" t="s">
        <v>77</v>
      </c>
    </row>
    <row r="3464" spans="1:3" x14ac:dyDescent="0.25">
      <c r="A3464" t="str">
        <f>"460787229"</f>
        <v>460787229</v>
      </c>
      <c r="B3464" t="str">
        <f>"EHPAD ORTABADIAL SITE CH FIGEAC"</f>
        <v>EHPAD ORTABADIAL SITE CH FIGEAC</v>
      </c>
      <c r="C3464" t="s">
        <v>77</v>
      </c>
    </row>
    <row r="3465" spans="1:3" x14ac:dyDescent="0.25">
      <c r="A3465" t="str">
        <f>"470000506"</f>
        <v>470000506</v>
      </c>
      <c r="B3465" t="str">
        <f>"EHPAD GASTON CARRERE"</f>
        <v>EHPAD GASTON CARRERE</v>
      </c>
      <c r="C3465" t="s">
        <v>70</v>
      </c>
    </row>
    <row r="3466" spans="1:3" x14ac:dyDescent="0.25">
      <c r="A3466" t="str">
        <f>"470000514"</f>
        <v>470000514</v>
      </c>
      <c r="B3466" t="str">
        <f>"EHPAD D'AIGUILLON"</f>
        <v>EHPAD D'AIGUILLON</v>
      </c>
      <c r="C3466" t="s">
        <v>70</v>
      </c>
    </row>
    <row r="3467" spans="1:3" x14ac:dyDescent="0.25">
      <c r="A3467" t="str">
        <f>"470001694"</f>
        <v>470001694</v>
      </c>
      <c r="B3467" t="str">
        <f>"EHPAD MA MAISON"</f>
        <v>EHPAD MA MAISON</v>
      </c>
      <c r="C3467" t="s">
        <v>70</v>
      </c>
    </row>
    <row r="3468" spans="1:3" x14ac:dyDescent="0.25">
      <c r="A3468" t="str">
        <f>"470001702"</f>
        <v>470001702</v>
      </c>
      <c r="B3468" t="str">
        <f>"EHPAD LES REMPARTS"</f>
        <v>EHPAD LES REMPARTS</v>
      </c>
      <c r="C3468" t="s">
        <v>70</v>
      </c>
    </row>
    <row r="3469" spans="1:3" x14ac:dyDescent="0.25">
      <c r="A3469" t="str">
        <f>"470001744"</f>
        <v>470001744</v>
      </c>
      <c r="B3469" t="str">
        <f>"EHPAD LA BOURDETTE"</f>
        <v>EHPAD LA BOURDETTE</v>
      </c>
      <c r="C3469" t="s">
        <v>70</v>
      </c>
    </row>
    <row r="3470" spans="1:3" x14ac:dyDescent="0.25">
      <c r="A3470" t="str">
        <f>"470001819"</f>
        <v>470001819</v>
      </c>
      <c r="B3470" t="str">
        <f>"EHPAD LA VILLA DE L'ERMITAGE"</f>
        <v>EHPAD LA VILLA DE L'ERMITAGE</v>
      </c>
      <c r="C3470" t="s">
        <v>70</v>
      </c>
    </row>
    <row r="3471" spans="1:3" x14ac:dyDescent="0.25">
      <c r="A3471" t="str">
        <f>"470002031"</f>
        <v>470002031</v>
      </c>
      <c r="B3471" t="str">
        <f>"EHPAD COMARQUE BEAUMANOIR"</f>
        <v>EHPAD COMARQUE BEAUMANOIR</v>
      </c>
      <c r="C3471" t="s">
        <v>70</v>
      </c>
    </row>
    <row r="3472" spans="1:3" x14ac:dyDescent="0.25">
      <c r="A3472" t="str">
        <f>"470002049"</f>
        <v>470002049</v>
      </c>
      <c r="B3472" t="str">
        <f>"EHPAD LES MARRONNIERS"</f>
        <v>EHPAD LES MARRONNIERS</v>
      </c>
      <c r="C3472" t="s">
        <v>70</v>
      </c>
    </row>
    <row r="3473" spans="1:3" x14ac:dyDescent="0.25">
      <c r="A3473" t="str">
        <f>"470002056"</f>
        <v>470002056</v>
      </c>
      <c r="B3473" t="str">
        <f>"EHPAD LES CAPUCINS"</f>
        <v>EHPAD LES CAPUCINS</v>
      </c>
      <c r="C3473" t="s">
        <v>70</v>
      </c>
    </row>
    <row r="3474" spans="1:3" x14ac:dyDescent="0.25">
      <c r="A3474" t="str">
        <f>"470002064"</f>
        <v>470002064</v>
      </c>
      <c r="B3474" t="str">
        <f>"EHPAD CAPURAN"</f>
        <v>EHPAD CAPURAN</v>
      </c>
      <c r="C3474" t="s">
        <v>70</v>
      </c>
    </row>
    <row r="3475" spans="1:3" x14ac:dyDescent="0.25">
      <c r="A3475" t="str">
        <f>"470002072"</f>
        <v>470002072</v>
      </c>
      <c r="B3475" t="str">
        <f>"EHPAD DE FEUGAROLLES"</f>
        <v>EHPAD DE FEUGAROLLES</v>
      </c>
      <c r="C3475" t="s">
        <v>70</v>
      </c>
    </row>
    <row r="3476" spans="1:3" x14ac:dyDescent="0.25">
      <c r="A3476" t="str">
        <f>"470002080"</f>
        <v>470002080</v>
      </c>
      <c r="B3476" t="str">
        <f>"EHPAD MAS D'AGENAIS"</f>
        <v>EHPAD MAS D'AGENAIS</v>
      </c>
      <c r="C3476" t="s">
        <v>70</v>
      </c>
    </row>
    <row r="3477" spans="1:3" x14ac:dyDescent="0.25">
      <c r="A3477" t="str">
        <f>"470002106"</f>
        <v>470002106</v>
      </c>
      <c r="B3477" t="str">
        <f>"EHPAD RESIDENCE L'OREE DES BOIS"</f>
        <v>EHPAD RESIDENCE L'OREE DES BOIS</v>
      </c>
      <c r="C3477" t="s">
        <v>70</v>
      </c>
    </row>
    <row r="3478" spans="1:3" x14ac:dyDescent="0.25">
      <c r="A3478" t="str">
        <f>"470002114"</f>
        <v>470002114</v>
      </c>
      <c r="B3478" t="str">
        <f>"EHPAD FONDATION SOUSSIAL"</f>
        <v>EHPAD FONDATION SOUSSIAL</v>
      </c>
      <c r="C3478" t="s">
        <v>70</v>
      </c>
    </row>
    <row r="3479" spans="1:3" x14ac:dyDescent="0.25">
      <c r="A3479" t="str">
        <f>"470002130"</f>
        <v>470002130</v>
      </c>
      <c r="B3479" t="str">
        <f>"EHPAD RENE ANDRIEU"</f>
        <v>EHPAD RENE ANDRIEU</v>
      </c>
      <c r="C3479" t="s">
        <v>70</v>
      </c>
    </row>
    <row r="3480" spans="1:3" x14ac:dyDescent="0.25">
      <c r="A3480" t="str">
        <f>"470002148"</f>
        <v>470002148</v>
      </c>
      <c r="B3480" t="str">
        <f>"EHPAD SAINTE CATHERINE"</f>
        <v>EHPAD SAINTE CATHERINE</v>
      </c>
      <c r="C3480" t="s">
        <v>70</v>
      </c>
    </row>
    <row r="3481" spans="1:3" x14ac:dyDescent="0.25">
      <c r="A3481" t="str">
        <f>"470002155"</f>
        <v>470002155</v>
      </c>
      <c r="B3481" t="str">
        <f>"EHPAD SAINT MARTIN ET GASTON CARRERE"</f>
        <v>EHPAD SAINT MARTIN ET GASTON CARRERE</v>
      </c>
      <c r="C3481" t="s">
        <v>70</v>
      </c>
    </row>
    <row r="3482" spans="1:3" x14ac:dyDescent="0.25">
      <c r="A3482" t="str">
        <f>"470002189"</f>
        <v>470002189</v>
      </c>
      <c r="B3482" t="str">
        <f>"EHPAD EULALIE"</f>
        <v>EHPAD EULALIE</v>
      </c>
      <c r="C3482" t="s">
        <v>70</v>
      </c>
    </row>
    <row r="3483" spans="1:3" x14ac:dyDescent="0.25">
      <c r="A3483" t="str">
        <f>"470002197"</f>
        <v>470002197</v>
      </c>
      <c r="B3483" t="str">
        <f>"EHPAD PIERRE GRENIER DE CARDENAL"</f>
        <v>EHPAD PIERRE GRENIER DE CARDENAL</v>
      </c>
      <c r="C3483" t="s">
        <v>70</v>
      </c>
    </row>
    <row r="3484" spans="1:3" x14ac:dyDescent="0.25">
      <c r="A3484" t="str">
        <f>"470002239"</f>
        <v>470002239</v>
      </c>
      <c r="B3484" t="str">
        <f>"EHPAD DES COTEAUX"</f>
        <v>EHPAD DES COTEAUX</v>
      </c>
      <c r="C3484" t="s">
        <v>70</v>
      </c>
    </row>
    <row r="3485" spans="1:3" x14ac:dyDescent="0.25">
      <c r="A3485" t="str">
        <f>"470004094"</f>
        <v>470004094</v>
      </c>
      <c r="B3485" t="str">
        <f>"EHPAD RESIDENCE DE RAYMOND"</f>
        <v>EHPAD RESIDENCE DE RAYMOND</v>
      </c>
      <c r="C3485" t="s">
        <v>70</v>
      </c>
    </row>
    <row r="3486" spans="1:3" x14ac:dyDescent="0.25">
      <c r="A3486" t="str">
        <f>"470004102"</f>
        <v>470004102</v>
      </c>
      <c r="B3486" t="str">
        <f>"EHPAD RESIDENCE ZOPPOLA"</f>
        <v>EHPAD RESIDENCE ZOPPOLA</v>
      </c>
      <c r="C3486" t="s">
        <v>70</v>
      </c>
    </row>
    <row r="3487" spans="1:3" x14ac:dyDescent="0.25">
      <c r="A3487" t="str">
        <f>"470004110"</f>
        <v>470004110</v>
      </c>
      <c r="B3487" t="str">
        <f>"EHPAD RESIDENCE BEURRE"</f>
        <v>EHPAD RESIDENCE BEURRE</v>
      </c>
      <c r="C3487" t="s">
        <v>70</v>
      </c>
    </row>
    <row r="3488" spans="1:3" x14ac:dyDescent="0.25">
      <c r="A3488" t="str">
        <f>"470005356"</f>
        <v>470005356</v>
      </c>
      <c r="B3488" t="str">
        <f>"EHPAD JEAN DESTANG"</f>
        <v>EHPAD JEAN DESTANG</v>
      </c>
      <c r="C3488" t="s">
        <v>70</v>
      </c>
    </row>
    <row r="3489" spans="1:3" x14ac:dyDescent="0.25">
      <c r="A3489" t="str">
        <f>"470005398"</f>
        <v>470005398</v>
      </c>
      <c r="B3489" t="str">
        <f>"EHPAD POMPEYRIE"</f>
        <v>EHPAD POMPEYRIE</v>
      </c>
      <c r="C3489" t="s">
        <v>70</v>
      </c>
    </row>
    <row r="3490" spans="1:3" x14ac:dyDescent="0.25">
      <c r="A3490" t="str">
        <f>"470005448"</f>
        <v>470005448</v>
      </c>
      <c r="B3490" t="str">
        <f>"EHPAD LE SOLEIL D'AUTOMNE"</f>
        <v>EHPAD LE SOLEIL D'AUTOMNE</v>
      </c>
      <c r="C3490" t="s">
        <v>70</v>
      </c>
    </row>
    <row r="3491" spans="1:3" x14ac:dyDescent="0.25">
      <c r="A3491" t="str">
        <f>"470008699"</f>
        <v>470008699</v>
      </c>
      <c r="B3491" t="str">
        <f>"EHPAD DE NERAC"</f>
        <v>EHPAD DE NERAC</v>
      </c>
      <c r="C3491" t="s">
        <v>70</v>
      </c>
    </row>
    <row r="3492" spans="1:3" x14ac:dyDescent="0.25">
      <c r="A3492" t="str">
        <f>"470008715"</f>
        <v>470008715</v>
      </c>
      <c r="B3492" t="str">
        <f>"EHPAD GARDOLLE - CHIC TONNEINS"</f>
        <v>EHPAD GARDOLLE - CHIC TONNEINS</v>
      </c>
      <c r="C3492" t="s">
        <v>70</v>
      </c>
    </row>
    <row r="3493" spans="1:3" x14ac:dyDescent="0.25">
      <c r="A3493" t="str">
        <f>"470008723"</f>
        <v>470008723</v>
      </c>
      <c r="B3493" t="str">
        <f>"EHPAD LE PORT DE GAJAC"</f>
        <v>EHPAD LE PORT DE GAJAC</v>
      </c>
      <c r="C3493" t="s">
        <v>70</v>
      </c>
    </row>
    <row r="3494" spans="1:3" x14ac:dyDescent="0.25">
      <c r="A3494" t="str">
        <f>"470008749"</f>
        <v>470008749</v>
      </c>
      <c r="B3494" t="str">
        <f>"EHPAD HL DE CASTELJALOUX"</f>
        <v>EHPAD HL DE CASTELJALOUX</v>
      </c>
      <c r="C3494" t="s">
        <v>70</v>
      </c>
    </row>
    <row r="3495" spans="1:3" x14ac:dyDescent="0.25">
      <c r="A3495" t="str">
        <f>"470008756"</f>
        <v>470008756</v>
      </c>
      <c r="B3495" t="str">
        <f>"EHPAD DU CENTRE HOSPITALIER DE FUMEL"</f>
        <v>EHPAD DU CENTRE HOSPITALIER DE FUMEL</v>
      </c>
      <c r="C3495" t="s">
        <v>70</v>
      </c>
    </row>
    <row r="3496" spans="1:3" x14ac:dyDescent="0.25">
      <c r="A3496" t="str">
        <f>"470008772"</f>
        <v>470008772</v>
      </c>
      <c r="B3496" t="str">
        <f>"EHPAD LES TILLEULS"</f>
        <v>EHPAD LES TILLEULS</v>
      </c>
      <c r="C3496" t="s">
        <v>70</v>
      </c>
    </row>
    <row r="3497" spans="1:3" x14ac:dyDescent="0.25">
      <c r="A3497" t="str">
        <f>"470009028"</f>
        <v>470009028</v>
      </c>
      <c r="B3497" t="str">
        <f>"EHPAD RESIDENCE SAINT EXUPERY"</f>
        <v>EHPAD RESIDENCE SAINT EXUPERY</v>
      </c>
      <c r="C3497" t="s">
        <v>70</v>
      </c>
    </row>
    <row r="3498" spans="1:3" x14ac:dyDescent="0.25">
      <c r="A3498" t="str">
        <f>"470009259"</f>
        <v>470009259</v>
      </c>
      <c r="B3498" t="str">
        <f>"EHPAD LES DEUX VALLEES"</f>
        <v>EHPAD LES DEUX VALLEES</v>
      </c>
      <c r="C3498" t="s">
        <v>70</v>
      </c>
    </row>
    <row r="3499" spans="1:3" x14ac:dyDescent="0.25">
      <c r="A3499" t="str">
        <f>"470009267"</f>
        <v>470009267</v>
      </c>
      <c r="B3499" t="str">
        <f>"EHPAD CHATEAU DE PARDIAC"</f>
        <v>EHPAD CHATEAU DE PARDIAC</v>
      </c>
      <c r="C3499" t="s">
        <v>70</v>
      </c>
    </row>
    <row r="3500" spans="1:3" x14ac:dyDescent="0.25">
      <c r="A3500" t="str">
        <f>"470009648"</f>
        <v>470009648</v>
      </c>
      <c r="B3500" t="str">
        <f>"EHPAD LES CHENES VERTS"</f>
        <v>EHPAD LES CHENES VERTS</v>
      </c>
      <c r="C3500" t="s">
        <v>70</v>
      </c>
    </row>
    <row r="3501" spans="1:3" x14ac:dyDescent="0.25">
      <c r="A3501" t="str">
        <f>"470009705"</f>
        <v>470009705</v>
      </c>
      <c r="B3501" t="str">
        <f>"EHPAD CHATEAU DU SAUMONT"</f>
        <v>EHPAD CHATEAU DU SAUMONT</v>
      </c>
      <c r="C3501" t="s">
        <v>70</v>
      </c>
    </row>
    <row r="3502" spans="1:3" x14ac:dyDescent="0.25">
      <c r="A3502" t="str">
        <f>"470009739"</f>
        <v>470009739</v>
      </c>
      <c r="B3502" t="str">
        <f>"EHPAD RESIDENCE DU LAC"</f>
        <v>EHPAD RESIDENCE DU LAC</v>
      </c>
      <c r="C3502" t="s">
        <v>70</v>
      </c>
    </row>
    <row r="3503" spans="1:3" x14ac:dyDescent="0.25">
      <c r="A3503" t="str">
        <f>"470009747"</f>
        <v>470009747</v>
      </c>
      <c r="B3503" t="str">
        <f>"EHPAD LA TOUR DE PUJOLS"</f>
        <v>EHPAD LA TOUR DE PUJOLS</v>
      </c>
      <c r="C3503" t="s">
        <v>70</v>
      </c>
    </row>
    <row r="3504" spans="1:3" x14ac:dyDescent="0.25">
      <c r="A3504" t="str">
        <f>"470009754"</f>
        <v>470009754</v>
      </c>
      <c r="B3504" t="str">
        <f>"EHPAD LE CHATEAU"</f>
        <v>EHPAD LE CHATEAU</v>
      </c>
      <c r="C3504" t="s">
        <v>70</v>
      </c>
    </row>
    <row r="3505" spans="1:3" x14ac:dyDescent="0.25">
      <c r="A3505" t="str">
        <f>"470009796"</f>
        <v>470009796</v>
      </c>
      <c r="B3505" t="str">
        <f>"EHPAD LES TERRASSES"</f>
        <v>EHPAD LES TERRASSES</v>
      </c>
      <c r="C3505" t="s">
        <v>70</v>
      </c>
    </row>
    <row r="3506" spans="1:3" x14ac:dyDescent="0.25">
      <c r="A3506" t="str">
        <f>"470010455"</f>
        <v>470010455</v>
      </c>
      <c r="B3506" t="str">
        <f>"EHPAD  BEL AIR"</f>
        <v>EHPAD  BEL AIR</v>
      </c>
      <c r="C3506" t="s">
        <v>70</v>
      </c>
    </row>
    <row r="3507" spans="1:3" x14ac:dyDescent="0.25">
      <c r="A3507" t="str">
        <f>"470010562"</f>
        <v>470010562</v>
      </c>
      <c r="B3507" t="str">
        <f>"EHPAD LES PRES DU MOULIN"</f>
        <v>EHPAD LES PRES DU MOULIN</v>
      </c>
      <c r="C3507" t="s">
        <v>70</v>
      </c>
    </row>
    <row r="3508" spans="1:3" x14ac:dyDescent="0.25">
      <c r="A3508" t="str">
        <f>"470013285"</f>
        <v>470013285</v>
      </c>
      <c r="B3508" t="str">
        <f>"EHPAD TIERS TEMPS SAINT JEAN"</f>
        <v>EHPAD TIERS TEMPS SAINT JEAN</v>
      </c>
      <c r="C3508" t="s">
        <v>70</v>
      </c>
    </row>
    <row r="3509" spans="1:3" x14ac:dyDescent="0.25">
      <c r="A3509" t="str">
        <f>"470013566"</f>
        <v>470013566</v>
      </c>
      <c r="B3509" t="str">
        <f>"EHPAD LES MAGNOLIAS"</f>
        <v>EHPAD LES MAGNOLIAS</v>
      </c>
      <c r="C3509" t="s">
        <v>70</v>
      </c>
    </row>
    <row r="3510" spans="1:3" x14ac:dyDescent="0.25">
      <c r="A3510" t="str">
        <f>"470014119"</f>
        <v>470014119</v>
      </c>
      <c r="B3510" t="str">
        <f>"EHPAD LES HIRONDELLES"</f>
        <v>EHPAD LES HIRONDELLES</v>
      </c>
      <c r="C3510" t="s">
        <v>70</v>
      </c>
    </row>
    <row r="3511" spans="1:3" x14ac:dyDescent="0.25">
      <c r="A3511" t="str">
        <f>"470014143"</f>
        <v>470014143</v>
      </c>
      <c r="B3511" t="str">
        <f>"EHPAD KORIAN BELLEVUE"</f>
        <v>EHPAD KORIAN BELLEVUE</v>
      </c>
      <c r="C3511" t="s">
        <v>70</v>
      </c>
    </row>
    <row r="3512" spans="1:3" x14ac:dyDescent="0.25">
      <c r="A3512" t="str">
        <f>"470014275"</f>
        <v>470014275</v>
      </c>
      <c r="B3512" t="str">
        <f>"EHPAD LA FONTAINE BAZEILLE"</f>
        <v>EHPAD LA FONTAINE BAZEILLE</v>
      </c>
      <c r="C3512" t="s">
        <v>70</v>
      </c>
    </row>
    <row r="3513" spans="1:3" x14ac:dyDescent="0.25">
      <c r="A3513" t="str">
        <f>"470014283"</f>
        <v>470014283</v>
      </c>
      <c r="B3513" t="str">
        <f>"EHPAD LOUIS IX"</f>
        <v>EHPAD LOUIS IX</v>
      </c>
      <c r="C3513" t="s">
        <v>70</v>
      </c>
    </row>
    <row r="3514" spans="1:3" x14ac:dyDescent="0.25">
      <c r="A3514" t="str">
        <f>"470014333"</f>
        <v>470014333</v>
      </c>
      <c r="B3514" t="str">
        <f>"EHPAD MAISON SAINT MARTIN"</f>
        <v>EHPAD MAISON SAINT MARTIN</v>
      </c>
      <c r="C3514" t="s">
        <v>70</v>
      </c>
    </row>
    <row r="3515" spans="1:3" x14ac:dyDescent="0.25">
      <c r="A3515" t="str">
        <f>"470014515"</f>
        <v>470014515</v>
      </c>
      <c r="B3515" t="str">
        <f>"EHPAD LE HAMEAU DE PRAYSSAS"</f>
        <v>EHPAD LE HAMEAU DE PRAYSSAS</v>
      </c>
      <c r="C3515" t="s">
        <v>70</v>
      </c>
    </row>
    <row r="3516" spans="1:3" x14ac:dyDescent="0.25">
      <c r="A3516" t="str">
        <f>"480000751"</f>
        <v>480000751</v>
      </c>
      <c r="B3516" t="str">
        <f>"EHPAD RESIDENCE LEON PICY"</f>
        <v>EHPAD RESIDENCE LEON PICY</v>
      </c>
      <c r="C3516" t="s">
        <v>77</v>
      </c>
    </row>
    <row r="3517" spans="1:3" x14ac:dyDescent="0.25">
      <c r="A3517" t="str">
        <f>"480001015"</f>
        <v>480001015</v>
      </c>
      <c r="B3517" t="str">
        <f>"EHPAD RESIDENCE LES PINS"</f>
        <v>EHPAD RESIDENCE LES PINS</v>
      </c>
      <c r="C3517" t="s">
        <v>77</v>
      </c>
    </row>
    <row r="3518" spans="1:3" x14ac:dyDescent="0.25">
      <c r="A3518" t="str">
        <f>"480001130"</f>
        <v>480001130</v>
      </c>
      <c r="B3518" t="str">
        <f>"EHPAD NOSTR'OUSTAOU"</f>
        <v>EHPAD NOSTR'OUSTAOU</v>
      </c>
      <c r="C3518" t="s">
        <v>77</v>
      </c>
    </row>
    <row r="3519" spans="1:3" x14ac:dyDescent="0.25">
      <c r="A3519" t="str">
        <f>"480001254"</f>
        <v>480001254</v>
      </c>
      <c r="B3519" t="str">
        <f>"EHPAD L'ALISIER"</f>
        <v>EHPAD L'ALISIER</v>
      </c>
      <c r="C3519" t="s">
        <v>77</v>
      </c>
    </row>
    <row r="3520" spans="1:3" x14ac:dyDescent="0.25">
      <c r="A3520" t="str">
        <f>"480001890"</f>
        <v>480001890</v>
      </c>
      <c r="B3520" t="str">
        <f>"EHPAD SAINT MARTIN"</f>
        <v>EHPAD SAINT MARTIN</v>
      </c>
      <c r="C3520" t="s">
        <v>77</v>
      </c>
    </row>
    <row r="3521" spans="1:3" x14ac:dyDescent="0.25">
      <c r="A3521" t="str">
        <f>"480780311"</f>
        <v>480780311</v>
      </c>
      <c r="B3521" t="str">
        <f>"EHPAD RESIDENCE LA COLAGNE"</f>
        <v>EHPAD RESIDENCE LA COLAGNE</v>
      </c>
      <c r="C3521" t="s">
        <v>77</v>
      </c>
    </row>
    <row r="3522" spans="1:3" x14ac:dyDescent="0.25">
      <c r="A3522" t="str">
        <f>"480780329"</f>
        <v>480780329</v>
      </c>
      <c r="B3522" t="str">
        <f>"EHPAD JEAN BAPTISTE RAY"</f>
        <v>EHPAD JEAN BAPTISTE RAY</v>
      </c>
      <c r="C3522" t="s">
        <v>77</v>
      </c>
    </row>
    <row r="3523" spans="1:3" x14ac:dyDescent="0.25">
      <c r="A3523" t="str">
        <f>"480780394"</f>
        <v>480780394</v>
      </c>
      <c r="B3523" t="str">
        <f>"EHPAD RESIDENCE JOSEPH CAUPERT"</f>
        <v>EHPAD RESIDENCE JOSEPH CAUPERT</v>
      </c>
      <c r="C3523" t="s">
        <v>77</v>
      </c>
    </row>
    <row r="3524" spans="1:3" x14ac:dyDescent="0.25">
      <c r="A3524" t="str">
        <f>"480780444"</f>
        <v>480780444</v>
      </c>
      <c r="B3524" t="str">
        <f>"EHPAD SAINT NICOLAS AUROUX"</f>
        <v>EHPAD SAINT NICOLAS AUROUX</v>
      </c>
      <c r="C3524" t="s">
        <v>77</v>
      </c>
    </row>
    <row r="3525" spans="1:3" x14ac:dyDescent="0.25">
      <c r="A3525" t="str">
        <f>"480780451"</f>
        <v>480780451</v>
      </c>
      <c r="B3525" t="str">
        <f>"EHPAD LA MAISON DES AIRES"</f>
        <v>EHPAD LA MAISON DES AIRES</v>
      </c>
      <c r="C3525" t="s">
        <v>77</v>
      </c>
    </row>
    <row r="3526" spans="1:3" x14ac:dyDescent="0.25">
      <c r="A3526" t="str">
        <f>"480780477"</f>
        <v>480780477</v>
      </c>
      <c r="B3526" t="str">
        <f>"EHPAD RESIDENCE DES VALLEES"</f>
        <v>EHPAD RESIDENCE DES VALLEES</v>
      </c>
      <c r="C3526" t="s">
        <v>77</v>
      </c>
    </row>
    <row r="3527" spans="1:3" x14ac:dyDescent="0.25">
      <c r="A3527" t="str">
        <f>"480780527"</f>
        <v>480780527</v>
      </c>
      <c r="B3527" t="str">
        <f>"EHPAD LE REJAL"</f>
        <v>EHPAD LE REJAL</v>
      </c>
      <c r="C3527" t="s">
        <v>77</v>
      </c>
    </row>
    <row r="3528" spans="1:3" x14ac:dyDescent="0.25">
      <c r="A3528" t="str">
        <f>"480780626"</f>
        <v>480780626</v>
      </c>
      <c r="B3528" t="str">
        <f>"EHPAD VIALAS"</f>
        <v>EHPAD VIALAS</v>
      </c>
      <c r="C3528" t="s">
        <v>77</v>
      </c>
    </row>
    <row r="3529" spans="1:3" x14ac:dyDescent="0.25">
      <c r="A3529" t="str">
        <f>"480780659"</f>
        <v>480780659</v>
      </c>
      <c r="B3529" t="str">
        <f>"EHPAD RESIDENCE MARGERIDE"</f>
        <v>EHPAD RESIDENCE MARGERIDE</v>
      </c>
      <c r="C3529" t="s">
        <v>77</v>
      </c>
    </row>
    <row r="3530" spans="1:3" x14ac:dyDescent="0.25">
      <c r="A3530" t="str">
        <f>"480780766"</f>
        <v>480780766</v>
      </c>
      <c r="B3530" t="str">
        <f>"EHPAD RESIDENCE LES TROIS SOURCES"</f>
        <v>EHPAD RESIDENCE LES TROIS SOURCES</v>
      </c>
      <c r="C3530" t="s">
        <v>77</v>
      </c>
    </row>
    <row r="3531" spans="1:3" x14ac:dyDescent="0.25">
      <c r="A3531" t="str">
        <f>"480780832"</f>
        <v>480780832</v>
      </c>
      <c r="B3531" t="str">
        <f>"EHPAD CHALDECOSTE"</f>
        <v>EHPAD CHALDECOSTE</v>
      </c>
      <c r="C3531" t="s">
        <v>77</v>
      </c>
    </row>
    <row r="3532" spans="1:3" x14ac:dyDescent="0.25">
      <c r="A3532" t="str">
        <f>"480780865"</f>
        <v>480780865</v>
      </c>
      <c r="B3532" t="str">
        <f>"EHPAD COS LA GINESTADO"</f>
        <v>EHPAD COS LA GINESTADO</v>
      </c>
      <c r="C3532" t="s">
        <v>77</v>
      </c>
    </row>
    <row r="3533" spans="1:3" x14ac:dyDescent="0.25">
      <c r="A3533" t="str">
        <f>"480781897"</f>
        <v>480781897</v>
      </c>
      <c r="B3533" t="str">
        <f>"EHPAD VILLA SAINT JEAN"</f>
        <v>EHPAD VILLA SAINT JEAN</v>
      </c>
      <c r="C3533" t="s">
        <v>77</v>
      </c>
    </row>
    <row r="3534" spans="1:3" x14ac:dyDescent="0.25">
      <c r="A3534" t="str">
        <f>"480781905"</f>
        <v>480781905</v>
      </c>
      <c r="B3534" t="str">
        <f>"EHPAD SAINT MARTIN"</f>
        <v>EHPAD SAINT MARTIN</v>
      </c>
      <c r="C3534" t="s">
        <v>77</v>
      </c>
    </row>
    <row r="3535" spans="1:3" x14ac:dyDescent="0.25">
      <c r="A3535" t="str">
        <f>"480783125"</f>
        <v>480783125</v>
      </c>
      <c r="B3535" t="str">
        <f>"EHPAD LA SOLEILLADE"</f>
        <v>EHPAD LA SOLEILLADE</v>
      </c>
      <c r="C3535" t="s">
        <v>77</v>
      </c>
    </row>
    <row r="3536" spans="1:3" x14ac:dyDescent="0.25">
      <c r="A3536" t="str">
        <f>"480783158"</f>
        <v>480783158</v>
      </c>
      <c r="B3536" t="str">
        <f>"EHPAD CH FANNY RAMADIER"</f>
        <v>EHPAD CH FANNY RAMADIER</v>
      </c>
      <c r="C3536" t="s">
        <v>77</v>
      </c>
    </row>
    <row r="3537" spans="1:3" x14ac:dyDescent="0.25">
      <c r="A3537" t="str">
        <f>"480783166"</f>
        <v>480783166</v>
      </c>
      <c r="B3537" t="str">
        <f>"EHPAD ST JACQUES"</f>
        <v>EHPAD ST JACQUES</v>
      </c>
      <c r="C3537" t="s">
        <v>77</v>
      </c>
    </row>
    <row r="3538" spans="1:3" x14ac:dyDescent="0.25">
      <c r="A3538" t="str">
        <f>"480783182"</f>
        <v>480783182</v>
      </c>
      <c r="B3538" t="str">
        <f>"EHPAD HUBERT DE FLERS"</f>
        <v>EHPAD HUBERT DE FLERS</v>
      </c>
      <c r="C3538" t="s">
        <v>77</v>
      </c>
    </row>
    <row r="3539" spans="1:3" x14ac:dyDescent="0.25">
      <c r="A3539" t="str">
        <f>"480783190"</f>
        <v>480783190</v>
      </c>
      <c r="B3539" t="str">
        <f>"EHPAD CH LANGOGNE"</f>
        <v>EHPAD CH LANGOGNE</v>
      </c>
      <c r="C3539" t="s">
        <v>77</v>
      </c>
    </row>
    <row r="3540" spans="1:3" x14ac:dyDescent="0.25">
      <c r="A3540" t="str">
        <f>"480783216"</f>
        <v>480783216</v>
      </c>
      <c r="B3540" t="str">
        <f>"EHPAD THEOPHILE ROUSSEL CH FLORAC"</f>
        <v>EHPAD THEOPHILE ROUSSEL CH FLORAC</v>
      </c>
      <c r="C3540" t="s">
        <v>77</v>
      </c>
    </row>
    <row r="3541" spans="1:3" x14ac:dyDescent="0.25">
      <c r="A3541" t="str">
        <f>"480783372"</f>
        <v>480783372</v>
      </c>
      <c r="B3541" t="str">
        <f>"EHPAD ANDRE ALDEBERT"</f>
        <v>EHPAD ANDRE ALDEBERT</v>
      </c>
      <c r="C3541" t="s">
        <v>77</v>
      </c>
    </row>
    <row r="3542" spans="1:3" x14ac:dyDescent="0.25">
      <c r="A3542" t="str">
        <f>"480783547"</f>
        <v>480783547</v>
      </c>
      <c r="B3542" t="str">
        <f>"EHPAD 'L'ADORATION'"</f>
        <v>EHPAD 'L'ADORATION'</v>
      </c>
      <c r="C3542" t="s">
        <v>77</v>
      </c>
    </row>
    <row r="3543" spans="1:3" x14ac:dyDescent="0.25">
      <c r="A3543" t="str">
        <f>"480783927"</f>
        <v>480783927</v>
      </c>
      <c r="B3543" t="str">
        <f>"EHPAD LA RANDONNERAIE"</f>
        <v>EHPAD LA RANDONNERAIE</v>
      </c>
      <c r="C3543" t="s">
        <v>77</v>
      </c>
    </row>
    <row r="3544" spans="1:3" x14ac:dyDescent="0.25">
      <c r="A3544" t="str">
        <f>"490000056"</f>
        <v>490000056</v>
      </c>
      <c r="B3544" t="str">
        <f>"EHPAD BEL AIR"</f>
        <v>EHPAD BEL AIR</v>
      </c>
      <c r="C3544" t="s">
        <v>78</v>
      </c>
    </row>
    <row r="3545" spans="1:3" x14ac:dyDescent="0.25">
      <c r="A3545" t="str">
        <f>"490000841"</f>
        <v>490000841</v>
      </c>
      <c r="B3545" t="str">
        <f>"EHPAD RESIDENCES AU FIL DU LOIR"</f>
        <v>EHPAD RESIDENCES AU FIL DU LOIR</v>
      </c>
      <c r="C3545" t="s">
        <v>78</v>
      </c>
    </row>
    <row r="3546" spans="1:3" x14ac:dyDescent="0.25">
      <c r="A3546" t="str">
        <f>"490000858"</f>
        <v>490000858</v>
      </c>
      <c r="B3546" t="str">
        <f>"EHPAD JARDIN DES MAGNOLIAS"</f>
        <v>EHPAD JARDIN DES MAGNOLIAS</v>
      </c>
      <c r="C3546" t="s">
        <v>78</v>
      </c>
    </row>
    <row r="3547" spans="1:3" x14ac:dyDescent="0.25">
      <c r="A3547" t="str">
        <f>"490000866"</f>
        <v>490000866</v>
      </c>
      <c r="B3547" t="str">
        <f>"EHPAD LES FONTAINES"</f>
        <v>EHPAD LES FONTAINES</v>
      </c>
      <c r="C3547" t="s">
        <v>78</v>
      </c>
    </row>
    <row r="3548" spans="1:3" x14ac:dyDescent="0.25">
      <c r="A3548" t="str">
        <f>"490000874"</f>
        <v>490000874</v>
      </c>
      <c r="B3548" t="str">
        <f>"EHPAD ANNE DE LA GIROUARDIERE"</f>
        <v>EHPAD ANNE DE LA GIROUARDIERE</v>
      </c>
      <c r="C3548" t="s">
        <v>78</v>
      </c>
    </row>
    <row r="3549" spans="1:3" x14ac:dyDescent="0.25">
      <c r="A3549" t="str">
        <f>"490002052"</f>
        <v>490002052</v>
      </c>
      <c r="B3549" t="str">
        <f>"EHPAD RESIDENCE SAINTE MARIE"</f>
        <v>EHPAD RESIDENCE SAINTE MARIE</v>
      </c>
      <c r="C3549" t="s">
        <v>78</v>
      </c>
    </row>
    <row r="3550" spans="1:3" x14ac:dyDescent="0.25">
      <c r="A3550" t="str">
        <f>"490002086"</f>
        <v>490002086</v>
      </c>
      <c r="B3550" t="str">
        <f>"EHPAD LES RESIDENCES BOCAGE D'ANJOU"</f>
        <v>EHPAD LES RESIDENCES BOCAGE D'ANJOU</v>
      </c>
      <c r="C3550" t="s">
        <v>78</v>
      </c>
    </row>
    <row r="3551" spans="1:3" x14ac:dyDescent="0.25">
      <c r="A3551" t="str">
        <f>"490002102"</f>
        <v>490002102</v>
      </c>
      <c r="B3551" t="str">
        <f>"EHPAD CH LAYON-AUBANCE"</f>
        <v>EHPAD CH LAYON-AUBANCE</v>
      </c>
      <c r="C3551" t="s">
        <v>78</v>
      </c>
    </row>
    <row r="3552" spans="1:3" x14ac:dyDescent="0.25">
      <c r="A3552" t="str">
        <f>"490002110"</f>
        <v>490002110</v>
      </c>
      <c r="B3552" t="str">
        <f>"EHPAD LES HAUTS DU CHATEAU"</f>
        <v>EHPAD LES HAUTS DU CHATEAU</v>
      </c>
      <c r="C3552" t="s">
        <v>78</v>
      </c>
    </row>
    <row r="3553" spans="1:3" x14ac:dyDescent="0.25">
      <c r="A3553" t="str">
        <f>"490002128"</f>
        <v>490002128</v>
      </c>
      <c r="B3553" t="str">
        <f>"EHPAD VALLEE GELUSSEAU"</f>
        <v>EHPAD VALLEE GELUSSEAU</v>
      </c>
      <c r="C3553" t="s">
        <v>78</v>
      </c>
    </row>
    <row r="3554" spans="1:3" x14ac:dyDescent="0.25">
      <c r="A3554" t="str">
        <f>"490002136"</f>
        <v>490002136</v>
      </c>
      <c r="B3554" t="str">
        <f>"EHPAD LES CHENES DU BELLAY"</f>
        <v>EHPAD LES CHENES DU BELLAY</v>
      </c>
      <c r="C3554" t="s">
        <v>78</v>
      </c>
    </row>
    <row r="3555" spans="1:3" x14ac:dyDescent="0.25">
      <c r="A3555" t="str">
        <f>"490002144"</f>
        <v>490002144</v>
      </c>
      <c r="B3555" t="str">
        <f>"EHPAD RESIDENCES AU FIL DU LOIR"</f>
        <v>EHPAD RESIDENCES AU FIL DU LOIR</v>
      </c>
      <c r="C3555" t="s">
        <v>78</v>
      </c>
    </row>
    <row r="3556" spans="1:3" x14ac:dyDescent="0.25">
      <c r="A3556" t="str">
        <f>"490002151"</f>
        <v>490002151</v>
      </c>
      <c r="B3556" t="str">
        <f>"EHPAD LES HAUTS DE MAINE"</f>
        <v>EHPAD LES HAUTS DE MAINE</v>
      </c>
      <c r="C3556" t="s">
        <v>78</v>
      </c>
    </row>
    <row r="3557" spans="1:3" x14ac:dyDescent="0.25">
      <c r="A3557" t="str">
        <f>"490002169"</f>
        <v>490002169</v>
      </c>
      <c r="B3557" t="str">
        <f>"EHPAD LES HAUTS DE MAINE"</f>
        <v>EHPAD LES HAUTS DE MAINE</v>
      </c>
      <c r="C3557" t="s">
        <v>78</v>
      </c>
    </row>
    <row r="3558" spans="1:3" x14ac:dyDescent="0.25">
      <c r="A3558" t="str">
        <f>"490002185"</f>
        <v>490002185</v>
      </c>
      <c r="B3558" t="str">
        <f>"EHPAD RESIDENCES DE L'EVRE"</f>
        <v>EHPAD RESIDENCES DE L'EVRE</v>
      </c>
      <c r="C3558" t="s">
        <v>78</v>
      </c>
    </row>
    <row r="3559" spans="1:3" x14ac:dyDescent="0.25">
      <c r="A3559" t="str">
        <f>"490002193"</f>
        <v>490002193</v>
      </c>
      <c r="B3559" t="str">
        <f>"EHPAD LES RESIDENCES BOCAGE D'ANJOU"</f>
        <v>EHPAD LES RESIDENCES BOCAGE D'ANJOU</v>
      </c>
      <c r="C3559" t="s">
        <v>78</v>
      </c>
    </row>
    <row r="3560" spans="1:3" x14ac:dyDescent="0.25">
      <c r="A3560" t="str">
        <f>"490002201"</f>
        <v>490002201</v>
      </c>
      <c r="B3560" t="str">
        <f>"EHPAD LES CHENES DU BELLAY"</f>
        <v>EHPAD LES CHENES DU BELLAY</v>
      </c>
      <c r="C3560" t="s">
        <v>78</v>
      </c>
    </row>
    <row r="3561" spans="1:3" x14ac:dyDescent="0.25">
      <c r="A3561" t="str">
        <f>"490002219"</f>
        <v>490002219</v>
      </c>
      <c r="B3561" t="str">
        <f>"EHPAD RESIDENCE DU VAL D'OUDON"</f>
        <v>EHPAD RESIDENCE DU VAL D'OUDON</v>
      </c>
      <c r="C3561" t="s">
        <v>78</v>
      </c>
    </row>
    <row r="3562" spans="1:3" x14ac:dyDescent="0.25">
      <c r="A3562" t="str">
        <f>"490002227"</f>
        <v>490002227</v>
      </c>
      <c r="B3562" t="str">
        <f>"EHPAD ESBV MAZE"</f>
        <v>EHPAD ESBV MAZE</v>
      </c>
      <c r="C3562" t="s">
        <v>78</v>
      </c>
    </row>
    <row r="3563" spans="1:3" x14ac:dyDescent="0.25">
      <c r="A3563" t="str">
        <f>"490002235"</f>
        <v>490002235</v>
      </c>
      <c r="B3563" t="str">
        <f>"EHPAD ESBV LA MENITRE"</f>
        <v>EHPAD ESBV LA MENITRE</v>
      </c>
      <c r="C3563" t="s">
        <v>78</v>
      </c>
    </row>
    <row r="3564" spans="1:3" x14ac:dyDescent="0.25">
      <c r="A3564" t="str">
        <f>"490002243"</f>
        <v>490002243</v>
      </c>
      <c r="B3564" t="str">
        <f>"EHPAD RESIDENCES LES LIGERIENNES"</f>
        <v>EHPAD RESIDENCES LES LIGERIENNES</v>
      </c>
      <c r="C3564" t="s">
        <v>78</v>
      </c>
    </row>
    <row r="3565" spans="1:3" x14ac:dyDescent="0.25">
      <c r="A3565" t="str">
        <f>"490002250"</f>
        <v>490002250</v>
      </c>
      <c r="B3565" t="str">
        <f>"EHPAD MONTREUIL BELLAY"</f>
        <v>EHPAD MONTREUIL BELLAY</v>
      </c>
      <c r="C3565" t="s">
        <v>78</v>
      </c>
    </row>
    <row r="3566" spans="1:3" x14ac:dyDescent="0.25">
      <c r="A3566" t="str">
        <f>"490002268"</f>
        <v>490002268</v>
      </c>
      <c r="B3566" t="str">
        <f>"EHPAD CHR ANGERS ST NICOLAS"</f>
        <v>EHPAD CHR ANGERS ST NICOLAS</v>
      </c>
      <c r="C3566" t="s">
        <v>78</v>
      </c>
    </row>
    <row r="3567" spans="1:3" x14ac:dyDescent="0.25">
      <c r="A3567" t="str">
        <f>"490002276"</f>
        <v>490002276</v>
      </c>
      <c r="B3567" t="str">
        <f>"EHPAD LES BORDS DE SARTHE"</f>
        <v>EHPAD LES BORDS DE SARTHE</v>
      </c>
      <c r="C3567" t="s">
        <v>78</v>
      </c>
    </row>
    <row r="3568" spans="1:3" x14ac:dyDescent="0.25">
      <c r="A3568" t="str">
        <f>"490002284"</f>
        <v>490002284</v>
      </c>
      <c r="B3568" t="str">
        <f>"EHPAD CH DOUE EN ANJOU"</f>
        <v>EHPAD CH DOUE EN ANJOU</v>
      </c>
      <c r="C3568" t="s">
        <v>78</v>
      </c>
    </row>
    <row r="3569" spans="1:3" x14ac:dyDescent="0.25">
      <c r="A3569" t="str">
        <f>"490002292"</f>
        <v>490002292</v>
      </c>
      <c r="B3569" t="str">
        <f>"EHPAD LES CORDELIERES"</f>
        <v>EHPAD LES CORDELIERES</v>
      </c>
      <c r="C3569" t="s">
        <v>78</v>
      </c>
    </row>
    <row r="3570" spans="1:3" x14ac:dyDescent="0.25">
      <c r="A3570" t="str">
        <f>"490002300"</f>
        <v>490002300</v>
      </c>
      <c r="B3570" t="str">
        <f>"EHPAD RESIDENCES LES LIGERIENNES"</f>
        <v>EHPAD RESIDENCES LES LIGERIENNES</v>
      </c>
      <c r="C3570" t="s">
        <v>78</v>
      </c>
    </row>
    <row r="3571" spans="1:3" x14ac:dyDescent="0.25">
      <c r="A3571" t="str">
        <f>"490002318"</f>
        <v>490002318</v>
      </c>
      <c r="B3571" t="str">
        <f>"EHPAD CH DE LA CORNICHE ANGEVINE"</f>
        <v>EHPAD CH DE LA CORNICHE ANGEVINE</v>
      </c>
      <c r="C3571" t="s">
        <v>78</v>
      </c>
    </row>
    <row r="3572" spans="1:3" x14ac:dyDescent="0.25">
      <c r="A3572" t="str">
        <f>"490002342"</f>
        <v>490002342</v>
      </c>
      <c r="B3572" t="str">
        <f>"EHPAD RESIDENCE DES SOURCES"</f>
        <v>EHPAD RESIDENCE DES SOURCES</v>
      </c>
      <c r="C3572" t="s">
        <v>78</v>
      </c>
    </row>
    <row r="3573" spans="1:3" x14ac:dyDescent="0.25">
      <c r="A3573" t="str">
        <f>"490002359"</f>
        <v>490002359</v>
      </c>
      <c r="B3573" t="str">
        <f>"EHPAD RESIDENCE DU VAL D'OUDON"</f>
        <v>EHPAD RESIDENCE DU VAL D'OUDON</v>
      </c>
      <c r="C3573" t="s">
        <v>78</v>
      </c>
    </row>
    <row r="3574" spans="1:3" x14ac:dyDescent="0.25">
      <c r="A3574" t="str">
        <f>"490002367"</f>
        <v>490002367</v>
      </c>
      <c r="B3574" t="str">
        <f>"EHPAD LE BOURG JOLY"</f>
        <v>EHPAD LE BOURG JOLY</v>
      </c>
      <c r="C3574" t="s">
        <v>78</v>
      </c>
    </row>
    <row r="3575" spans="1:3" x14ac:dyDescent="0.25">
      <c r="A3575" t="str">
        <f>"490002375"</f>
        <v>490002375</v>
      </c>
      <c r="B3575" t="str">
        <f>"EHPAD RESIDENCES LES LIGERIENNES"</f>
        <v>EHPAD RESIDENCES LES LIGERIENNES</v>
      </c>
      <c r="C3575" t="s">
        <v>78</v>
      </c>
    </row>
    <row r="3576" spans="1:3" x14ac:dyDescent="0.25">
      <c r="A3576" t="str">
        <f>"490002383"</f>
        <v>490002383</v>
      </c>
      <c r="B3576" t="str">
        <f>"EHPAD RESIDENCE DU VAL D'OUDON"</f>
        <v>EHPAD RESIDENCE DU VAL D'OUDON</v>
      </c>
      <c r="C3576" t="s">
        <v>78</v>
      </c>
    </row>
    <row r="3577" spans="1:3" x14ac:dyDescent="0.25">
      <c r="A3577" t="str">
        <f>"490002391"</f>
        <v>490002391</v>
      </c>
      <c r="B3577" t="str">
        <f>"EHPAD CH LAYON-AUBANCE"</f>
        <v>EHPAD CH LAYON-AUBANCE</v>
      </c>
      <c r="C3577" t="s">
        <v>78</v>
      </c>
    </row>
    <row r="3578" spans="1:3" x14ac:dyDescent="0.25">
      <c r="A3578" t="str">
        <f>"490002417"</f>
        <v>490002417</v>
      </c>
      <c r="B3578" t="str">
        <f>"EHPAD LES RESIDENCES BOCAGE D'ANJOU"</f>
        <v>EHPAD LES RESIDENCES BOCAGE D'ANJOU</v>
      </c>
      <c r="C3578" t="s">
        <v>78</v>
      </c>
    </row>
    <row r="3579" spans="1:3" x14ac:dyDescent="0.25">
      <c r="A3579" t="str">
        <f>"490002425"</f>
        <v>490002425</v>
      </c>
      <c r="B3579" t="str">
        <f>"EHPAD CHI LYS HYROME"</f>
        <v>EHPAD CHI LYS HYROME</v>
      </c>
      <c r="C3579" t="s">
        <v>78</v>
      </c>
    </row>
    <row r="3580" spans="1:3" x14ac:dyDescent="0.25">
      <c r="A3580" t="str">
        <f>"490002433"</f>
        <v>490002433</v>
      </c>
      <c r="B3580" t="str">
        <f>"EHPAD LES TROENES"</f>
        <v>EHPAD LES TROENES</v>
      </c>
      <c r="C3580" t="s">
        <v>78</v>
      </c>
    </row>
    <row r="3581" spans="1:3" x14ac:dyDescent="0.25">
      <c r="A3581" t="str">
        <f>"490002458"</f>
        <v>490002458</v>
      </c>
      <c r="B3581" t="str">
        <f>"EHPAD LES PLAINES"</f>
        <v>EHPAD LES PLAINES</v>
      </c>
      <c r="C3581" t="s">
        <v>78</v>
      </c>
    </row>
    <row r="3582" spans="1:3" x14ac:dyDescent="0.25">
      <c r="A3582" t="str">
        <f>"490002532"</f>
        <v>490002532</v>
      </c>
      <c r="B3582" t="str">
        <f>"EHPAD LE COTEAU"</f>
        <v>EHPAD LE COTEAU</v>
      </c>
      <c r="C3582" t="s">
        <v>78</v>
      </c>
    </row>
    <row r="3583" spans="1:3" x14ac:dyDescent="0.25">
      <c r="A3583" t="str">
        <f>"490002730"</f>
        <v>490002730</v>
      </c>
      <c r="B3583" t="str">
        <f>"EHPAD NAZARETH"</f>
        <v>EHPAD NAZARETH</v>
      </c>
      <c r="C3583" t="s">
        <v>78</v>
      </c>
    </row>
    <row r="3584" spans="1:3" x14ac:dyDescent="0.25">
      <c r="A3584" t="str">
        <f>"490002748"</f>
        <v>490002748</v>
      </c>
      <c r="B3584" t="str">
        <f>"EHPAD LA ROSERAIE"</f>
        <v>EHPAD LA ROSERAIE</v>
      </c>
      <c r="C3584" t="s">
        <v>78</v>
      </c>
    </row>
    <row r="3585" spans="1:3" x14ac:dyDescent="0.25">
      <c r="A3585" t="str">
        <f>"490002755"</f>
        <v>490002755</v>
      </c>
      <c r="B3585" t="str">
        <f>"EHPAD SAINT VETERIN"</f>
        <v>EHPAD SAINT VETERIN</v>
      </c>
      <c r="C3585" t="s">
        <v>78</v>
      </c>
    </row>
    <row r="3586" spans="1:3" x14ac:dyDescent="0.25">
      <c r="A3586" t="str">
        <f>"490002763"</f>
        <v>490002763</v>
      </c>
      <c r="B3586" t="str">
        <f>"EHPAD D'OREE"</f>
        <v>EHPAD D'OREE</v>
      </c>
      <c r="C3586" t="s">
        <v>78</v>
      </c>
    </row>
    <row r="3587" spans="1:3" x14ac:dyDescent="0.25">
      <c r="A3587" t="str">
        <f>"490002771"</f>
        <v>490002771</v>
      </c>
      <c r="B3587" t="str">
        <f>"EHPAD RESIDENCES DE L'EVRE"</f>
        <v>EHPAD RESIDENCES DE L'EVRE</v>
      </c>
      <c r="C3587" t="s">
        <v>78</v>
      </c>
    </row>
    <row r="3588" spans="1:3" x14ac:dyDescent="0.25">
      <c r="A3588" t="str">
        <f>"490002789"</f>
        <v>490002789</v>
      </c>
      <c r="B3588" t="str">
        <f>"EHPAD BEAUSOLEIL"</f>
        <v>EHPAD BEAUSOLEIL</v>
      </c>
      <c r="C3588" t="s">
        <v>78</v>
      </c>
    </row>
    <row r="3589" spans="1:3" x14ac:dyDescent="0.25">
      <c r="A3589" t="str">
        <f>"490002797"</f>
        <v>490002797</v>
      </c>
      <c r="B3589" t="str">
        <f>"EHPAD LA BUISSAIE"</f>
        <v>EHPAD LA BUISSAIE</v>
      </c>
      <c r="C3589" t="s">
        <v>78</v>
      </c>
    </row>
    <row r="3590" spans="1:3" x14ac:dyDescent="0.25">
      <c r="A3590" t="str">
        <f>"490002805"</f>
        <v>490002805</v>
      </c>
      <c r="B3590" t="str">
        <f>"EHPAD CLAIREFONTAINE"</f>
        <v>EHPAD CLAIREFONTAINE</v>
      </c>
      <c r="C3590" t="s">
        <v>78</v>
      </c>
    </row>
    <row r="3591" spans="1:3" x14ac:dyDescent="0.25">
      <c r="A3591" t="str">
        <f>"490002813"</f>
        <v>490002813</v>
      </c>
      <c r="B3591" t="str">
        <f>"EHPAD SAINTE CLAIRE"</f>
        <v>EHPAD SAINTE CLAIRE</v>
      </c>
      <c r="C3591" t="s">
        <v>78</v>
      </c>
    </row>
    <row r="3592" spans="1:3" x14ac:dyDescent="0.25">
      <c r="A3592" t="str">
        <f>"490002821"</f>
        <v>490002821</v>
      </c>
      <c r="B3592" t="str">
        <f>"EHPAD NOTRE DAME DU BON SECOURS"</f>
        <v>EHPAD NOTRE DAME DU BON SECOURS</v>
      </c>
      <c r="C3592" t="s">
        <v>78</v>
      </c>
    </row>
    <row r="3593" spans="1:3" x14ac:dyDescent="0.25">
      <c r="A3593" t="str">
        <f>"490002847"</f>
        <v>490002847</v>
      </c>
      <c r="B3593" t="str">
        <f>"EHPAD BON AIR"</f>
        <v>EHPAD BON AIR</v>
      </c>
      <c r="C3593" t="s">
        <v>78</v>
      </c>
    </row>
    <row r="3594" spans="1:3" x14ac:dyDescent="0.25">
      <c r="A3594" t="str">
        <f>"490002854"</f>
        <v>490002854</v>
      </c>
      <c r="B3594" t="str">
        <f>"EHPAD DE SEVRET"</f>
        <v>EHPAD DE SEVRET</v>
      </c>
      <c r="C3594" t="s">
        <v>78</v>
      </c>
    </row>
    <row r="3595" spans="1:3" x14ac:dyDescent="0.25">
      <c r="A3595" t="str">
        <f>"490002862"</f>
        <v>490002862</v>
      </c>
      <c r="B3595" t="str">
        <f>"EHPAD VIVRE ENSEMBLE"</f>
        <v>EHPAD VIVRE ENSEMBLE</v>
      </c>
      <c r="C3595" t="s">
        <v>78</v>
      </c>
    </row>
    <row r="3596" spans="1:3" x14ac:dyDescent="0.25">
      <c r="A3596" t="str">
        <f>"490002888"</f>
        <v>490002888</v>
      </c>
      <c r="B3596" t="str">
        <f>"EHPAD L'ABBAYE"</f>
        <v>EHPAD L'ABBAYE</v>
      </c>
      <c r="C3596" t="s">
        <v>78</v>
      </c>
    </row>
    <row r="3597" spans="1:3" x14ac:dyDescent="0.25">
      <c r="A3597" t="str">
        <f>"490002896"</f>
        <v>490002896</v>
      </c>
      <c r="B3597" t="str">
        <f>"EHPAD RESIDENCE DU LATTAY"</f>
        <v>EHPAD RESIDENCE DU LATTAY</v>
      </c>
      <c r="C3597" t="s">
        <v>78</v>
      </c>
    </row>
    <row r="3598" spans="1:3" x14ac:dyDescent="0.25">
      <c r="A3598" t="str">
        <f>"490002904"</f>
        <v>490002904</v>
      </c>
      <c r="B3598" t="str">
        <f>"EHPAD LA SAGESSE"</f>
        <v>EHPAD LA SAGESSE</v>
      </c>
      <c r="C3598" t="s">
        <v>78</v>
      </c>
    </row>
    <row r="3599" spans="1:3" x14ac:dyDescent="0.25">
      <c r="A3599" t="str">
        <f>"490002920"</f>
        <v>490002920</v>
      </c>
      <c r="B3599" t="str">
        <f>"EHPAD LA BLANCHINE"</f>
        <v>EHPAD LA BLANCHINE</v>
      </c>
      <c r="C3599" t="s">
        <v>78</v>
      </c>
    </row>
    <row r="3600" spans="1:3" x14ac:dyDescent="0.25">
      <c r="A3600" t="str">
        <f>"490002938"</f>
        <v>490002938</v>
      </c>
      <c r="B3600" t="str">
        <f>"EHPAD L'AIR DU TEMPS"</f>
        <v>EHPAD L'AIR DU TEMPS</v>
      </c>
      <c r="C3600" t="s">
        <v>78</v>
      </c>
    </row>
    <row r="3601" spans="1:3" x14ac:dyDescent="0.25">
      <c r="A3601" t="str">
        <f>"490002946"</f>
        <v>490002946</v>
      </c>
      <c r="B3601" t="str">
        <f>"EHPAD SAINTE ANNE"</f>
        <v>EHPAD SAINTE ANNE</v>
      </c>
      <c r="C3601" t="s">
        <v>78</v>
      </c>
    </row>
    <row r="3602" spans="1:3" x14ac:dyDescent="0.25">
      <c r="A3602" t="str">
        <f>"490002953"</f>
        <v>490002953</v>
      </c>
      <c r="B3602" t="str">
        <f>"EHPAD ST JOSEPH"</f>
        <v>EHPAD ST JOSEPH</v>
      </c>
      <c r="C3602" t="s">
        <v>78</v>
      </c>
    </row>
    <row r="3603" spans="1:3" x14ac:dyDescent="0.25">
      <c r="A3603" t="str">
        <f>"490002961"</f>
        <v>490002961</v>
      </c>
      <c r="B3603" t="str">
        <f>"EHPAD LES COULEURS DU TEMPS"</f>
        <v>EHPAD LES COULEURS DU TEMPS</v>
      </c>
      <c r="C3603" t="s">
        <v>78</v>
      </c>
    </row>
    <row r="3604" spans="1:3" x14ac:dyDescent="0.25">
      <c r="A3604" t="str">
        <f>"490003027"</f>
        <v>490003027</v>
      </c>
      <c r="B3604" t="str">
        <f>"EHPAD LES ACACIAS"</f>
        <v>EHPAD LES ACACIAS</v>
      </c>
      <c r="C3604" t="s">
        <v>78</v>
      </c>
    </row>
    <row r="3605" spans="1:3" x14ac:dyDescent="0.25">
      <c r="A3605" t="str">
        <f>"490003225"</f>
        <v>490003225</v>
      </c>
      <c r="B3605" t="str">
        <f>"EHPAD BEL ACCUEIL"</f>
        <v>EHPAD BEL ACCUEIL</v>
      </c>
      <c r="C3605" t="s">
        <v>78</v>
      </c>
    </row>
    <row r="3606" spans="1:3" x14ac:dyDescent="0.25">
      <c r="A3606" t="str">
        <f>"490003647"</f>
        <v>490003647</v>
      </c>
      <c r="B3606" t="str">
        <f>"EHPAD IASO"</f>
        <v>EHPAD IASO</v>
      </c>
      <c r="C3606" t="s">
        <v>78</v>
      </c>
    </row>
    <row r="3607" spans="1:3" x14ac:dyDescent="0.25">
      <c r="A3607" t="str">
        <f>"490003654"</f>
        <v>490003654</v>
      </c>
      <c r="B3607" t="str">
        <f>"EHPAD SAINT MARTIN LA FORET"</f>
        <v>EHPAD SAINT MARTIN LA FORET</v>
      </c>
      <c r="C3607" t="s">
        <v>78</v>
      </c>
    </row>
    <row r="3608" spans="1:3" x14ac:dyDescent="0.25">
      <c r="A3608" t="str">
        <f>"490003662"</f>
        <v>490003662</v>
      </c>
      <c r="B3608" t="str">
        <f>"EHPAD LES AUGUSTINES"</f>
        <v>EHPAD LES AUGUSTINES</v>
      </c>
      <c r="C3608" t="s">
        <v>78</v>
      </c>
    </row>
    <row r="3609" spans="1:3" x14ac:dyDescent="0.25">
      <c r="A3609" t="str">
        <f>"490003688"</f>
        <v>490003688</v>
      </c>
      <c r="B3609" t="str">
        <f>"EHPAD MA MAISON"</f>
        <v>EHPAD MA MAISON</v>
      </c>
      <c r="C3609" t="s">
        <v>78</v>
      </c>
    </row>
    <row r="3610" spans="1:3" x14ac:dyDescent="0.25">
      <c r="A3610" t="str">
        <f>"490003696"</f>
        <v>490003696</v>
      </c>
      <c r="B3610" t="str">
        <f>"EHPAD LES JARDINS D'IROISE DE BRION"</f>
        <v>EHPAD LES JARDINS D'IROISE DE BRION</v>
      </c>
      <c r="C3610" t="s">
        <v>78</v>
      </c>
    </row>
    <row r="3611" spans="1:3" x14ac:dyDescent="0.25">
      <c r="A3611" t="str">
        <f>"490003720"</f>
        <v>490003720</v>
      </c>
      <c r="B3611" t="str">
        <f>"EHPAD SAINT CHARLES"</f>
        <v>EHPAD SAINT CHARLES</v>
      </c>
      <c r="C3611" t="s">
        <v>78</v>
      </c>
    </row>
    <row r="3612" spans="1:3" x14ac:dyDescent="0.25">
      <c r="A3612" t="str">
        <f>"490003761"</f>
        <v>490003761</v>
      </c>
      <c r="B3612" t="str">
        <f>"EHPAD SAINT JOSEPH"</f>
        <v>EHPAD SAINT JOSEPH</v>
      </c>
      <c r="C3612" t="s">
        <v>78</v>
      </c>
    </row>
    <row r="3613" spans="1:3" x14ac:dyDescent="0.25">
      <c r="A3613" t="str">
        <f>"490003787"</f>
        <v>490003787</v>
      </c>
      <c r="B3613" t="str">
        <f>"EHPAD VIVRE ENSEMBLE"</f>
        <v>EHPAD VIVRE ENSEMBLE</v>
      </c>
      <c r="C3613" t="s">
        <v>78</v>
      </c>
    </row>
    <row r="3614" spans="1:3" x14ac:dyDescent="0.25">
      <c r="A3614" t="str">
        <f>"490003795"</f>
        <v>490003795</v>
      </c>
      <c r="B3614" t="str">
        <f>"EHPAD LE PRIEURE"</f>
        <v>EHPAD LE PRIEURE</v>
      </c>
      <c r="C3614" t="s">
        <v>78</v>
      </c>
    </row>
    <row r="3615" spans="1:3" x14ac:dyDescent="0.25">
      <c r="A3615" t="str">
        <f>"490003811"</f>
        <v>490003811</v>
      </c>
      <c r="B3615" t="str">
        <f>"EHPAD L'OREE DU PARC"</f>
        <v>EHPAD L'OREE DU PARC</v>
      </c>
      <c r="C3615" t="s">
        <v>78</v>
      </c>
    </row>
    <row r="3616" spans="1:3" x14ac:dyDescent="0.25">
      <c r="A3616" t="str">
        <f>"490003829"</f>
        <v>490003829</v>
      </c>
      <c r="B3616" t="str">
        <f>"EHPAD LES NOISETIERS"</f>
        <v>EHPAD LES NOISETIERS</v>
      </c>
      <c r="C3616" t="s">
        <v>78</v>
      </c>
    </row>
    <row r="3617" spans="1:3" x14ac:dyDescent="0.25">
      <c r="A3617" t="str">
        <f>"490003837"</f>
        <v>490003837</v>
      </c>
      <c r="B3617" t="str">
        <f>"EHPAD GASTON BIRGE"</f>
        <v>EHPAD GASTON BIRGE</v>
      </c>
      <c r="C3617" t="s">
        <v>78</v>
      </c>
    </row>
    <row r="3618" spans="1:3" x14ac:dyDescent="0.25">
      <c r="A3618" t="str">
        <f>"490003928"</f>
        <v>490003928</v>
      </c>
      <c r="B3618" t="str">
        <f>"EHPAD THARREAU"</f>
        <v>EHPAD THARREAU</v>
      </c>
      <c r="C3618" t="s">
        <v>78</v>
      </c>
    </row>
    <row r="3619" spans="1:3" x14ac:dyDescent="0.25">
      <c r="A3619" t="str">
        <f>"490004215"</f>
        <v>490004215</v>
      </c>
      <c r="B3619" t="str">
        <f>"EHPAD ANNE DE MELUN"</f>
        <v>EHPAD ANNE DE MELUN</v>
      </c>
      <c r="C3619" t="s">
        <v>78</v>
      </c>
    </row>
    <row r="3620" spans="1:3" x14ac:dyDescent="0.25">
      <c r="A3620" t="str">
        <f>"490004249"</f>
        <v>490004249</v>
      </c>
      <c r="B3620" t="str">
        <f>"EHPAD LE VAL D'EVRE"</f>
        <v>EHPAD LE VAL D'EVRE</v>
      </c>
      <c r="C3620" t="s">
        <v>78</v>
      </c>
    </row>
    <row r="3621" spans="1:3" x14ac:dyDescent="0.25">
      <c r="A3621" t="str">
        <f>"490007424"</f>
        <v>490007424</v>
      </c>
      <c r="B3621" t="str">
        <f>"EHPAD VIVRE ENSEMBLE"</f>
        <v>EHPAD VIVRE ENSEMBLE</v>
      </c>
      <c r="C3621" t="s">
        <v>78</v>
      </c>
    </row>
    <row r="3622" spans="1:3" x14ac:dyDescent="0.25">
      <c r="A3622" t="str">
        <f>"490007432"</f>
        <v>490007432</v>
      </c>
      <c r="B3622" t="str">
        <f>"EHPAD SOEURS AINEES J DELANOUE"</f>
        <v>EHPAD SOEURS AINEES J DELANOUE</v>
      </c>
      <c r="C3622" t="s">
        <v>78</v>
      </c>
    </row>
    <row r="3623" spans="1:3" x14ac:dyDescent="0.25">
      <c r="A3623" t="str">
        <f>"490007440"</f>
        <v>490007440</v>
      </c>
      <c r="B3623" t="str">
        <f>"EHPAD MARIE BERNARD"</f>
        <v>EHPAD MARIE BERNARD</v>
      </c>
      <c r="C3623" t="s">
        <v>78</v>
      </c>
    </row>
    <row r="3624" spans="1:3" x14ac:dyDescent="0.25">
      <c r="A3624" t="str">
        <f>"490007473"</f>
        <v>490007473</v>
      </c>
      <c r="B3624" t="str">
        <f>"EHPAD EUPHRASIE PELLETIER"</f>
        <v>EHPAD EUPHRASIE PELLETIER</v>
      </c>
      <c r="C3624" t="s">
        <v>78</v>
      </c>
    </row>
    <row r="3625" spans="1:3" x14ac:dyDescent="0.25">
      <c r="A3625" t="str">
        <f>"490007481"</f>
        <v>490007481</v>
      </c>
      <c r="B3625" t="str">
        <f>"EHPAD SAINT CHARLES"</f>
        <v>EHPAD SAINT CHARLES</v>
      </c>
      <c r="C3625" t="s">
        <v>78</v>
      </c>
    </row>
    <row r="3626" spans="1:3" x14ac:dyDescent="0.25">
      <c r="A3626" t="str">
        <f>"490007515"</f>
        <v>490007515</v>
      </c>
      <c r="B3626" t="str">
        <f>"EHPAD SAINT FRANCOIS"</f>
        <v>EHPAD SAINT FRANCOIS</v>
      </c>
      <c r="C3626" t="s">
        <v>78</v>
      </c>
    </row>
    <row r="3627" spans="1:3" x14ac:dyDescent="0.25">
      <c r="A3627" t="str">
        <f>"490007556"</f>
        <v>490007556</v>
      </c>
      <c r="B3627" t="str">
        <f>"EHPAD SAINTE MARIE"</f>
        <v>EHPAD SAINTE MARIE</v>
      </c>
      <c r="C3627" t="s">
        <v>78</v>
      </c>
    </row>
    <row r="3628" spans="1:3" x14ac:dyDescent="0.25">
      <c r="A3628" t="str">
        <f>"490008141"</f>
        <v>490008141</v>
      </c>
      <c r="B3628" t="str">
        <f>"EHPAD CH LAYON-AUBANCE"</f>
        <v>EHPAD CH LAYON-AUBANCE</v>
      </c>
      <c r="C3628" t="s">
        <v>78</v>
      </c>
    </row>
    <row r="3629" spans="1:3" x14ac:dyDescent="0.25">
      <c r="A3629" t="str">
        <f>"490008786"</f>
        <v>490008786</v>
      </c>
      <c r="B3629" t="str">
        <f>"EHPAD LE BOIS CLAIRAY"</f>
        <v>EHPAD LE BOIS CLAIRAY</v>
      </c>
      <c r="C3629" t="s">
        <v>78</v>
      </c>
    </row>
    <row r="3630" spans="1:3" x14ac:dyDescent="0.25">
      <c r="A3630" t="str">
        <f>"490008844"</f>
        <v>490008844</v>
      </c>
      <c r="B3630" t="str">
        <f>"EHPAD CHANTERIVIERE"</f>
        <v>EHPAD CHANTERIVIERE</v>
      </c>
      <c r="C3630" t="s">
        <v>78</v>
      </c>
    </row>
    <row r="3631" spans="1:3" x14ac:dyDescent="0.25">
      <c r="A3631" t="str">
        <f>"490011517"</f>
        <v>490011517</v>
      </c>
      <c r="B3631" t="str">
        <f>"EHPAD D. DES 3 CHENES D. DU LAC"</f>
        <v>EHPAD D. DES 3 CHENES D. DU LAC</v>
      </c>
      <c r="C3631" t="s">
        <v>78</v>
      </c>
    </row>
    <row r="3632" spans="1:3" x14ac:dyDescent="0.25">
      <c r="A3632" t="str">
        <f>"490017480"</f>
        <v>490017480</v>
      </c>
      <c r="B3632" t="str">
        <f>"EHPAD VAL DE MOINE"</f>
        <v>EHPAD VAL DE MOINE</v>
      </c>
      <c r="C3632" t="s">
        <v>78</v>
      </c>
    </row>
    <row r="3633" spans="1:3" x14ac:dyDescent="0.25">
      <c r="A3633" t="str">
        <f>"490019635"</f>
        <v>490019635</v>
      </c>
      <c r="B3633" t="str">
        <f>"EHPAD LES TROIS MOULINS"</f>
        <v>EHPAD LES TROIS MOULINS</v>
      </c>
      <c r="C3633" t="s">
        <v>78</v>
      </c>
    </row>
    <row r="3634" spans="1:3" x14ac:dyDescent="0.25">
      <c r="A3634" t="str">
        <f>"490019643"</f>
        <v>490019643</v>
      </c>
      <c r="B3634" t="str">
        <f>"EHPAD LA MAISON D'ACCUEIL"</f>
        <v>EHPAD LA MAISON D'ACCUEIL</v>
      </c>
      <c r="C3634" t="s">
        <v>78</v>
      </c>
    </row>
    <row r="3635" spans="1:3" x14ac:dyDescent="0.25">
      <c r="A3635" t="str">
        <f>"490019668"</f>
        <v>490019668</v>
      </c>
      <c r="B3635" t="str">
        <f>"EHPAD LA PERRIERE"</f>
        <v>EHPAD LA PERRIERE</v>
      </c>
      <c r="C3635" t="s">
        <v>78</v>
      </c>
    </row>
    <row r="3636" spans="1:3" x14ac:dyDescent="0.25">
      <c r="A3636" t="str">
        <f>"490019676"</f>
        <v>490019676</v>
      </c>
      <c r="B3636" t="str">
        <f>"EHPAD MARCEL LEBRETON"</f>
        <v>EHPAD MARCEL LEBRETON</v>
      </c>
      <c r="C3636" t="s">
        <v>78</v>
      </c>
    </row>
    <row r="3637" spans="1:3" x14ac:dyDescent="0.25">
      <c r="A3637" t="str">
        <f>"490020476"</f>
        <v>490020476</v>
      </c>
      <c r="B3637" t="str">
        <f>"EHPAD LES MONCELLIERES"</f>
        <v>EHPAD LES MONCELLIERES</v>
      </c>
      <c r="C3637" t="s">
        <v>78</v>
      </c>
    </row>
    <row r="3638" spans="1:3" x14ac:dyDescent="0.25">
      <c r="A3638" t="str">
        <f>"490530896"</f>
        <v>490530896</v>
      </c>
      <c r="B3638" t="str">
        <f>"EHPAD LE CLAIR LOGIS"</f>
        <v>EHPAD LE CLAIR LOGIS</v>
      </c>
      <c r="C3638" t="s">
        <v>78</v>
      </c>
    </row>
    <row r="3639" spans="1:3" x14ac:dyDescent="0.25">
      <c r="A3639" t="str">
        <f>"490530987"</f>
        <v>490530987</v>
      </c>
      <c r="B3639" t="str">
        <f>"EHPAD LES FONTAINES"</f>
        <v>EHPAD LES FONTAINES</v>
      </c>
      <c r="C3639" t="s">
        <v>78</v>
      </c>
    </row>
    <row r="3640" spans="1:3" x14ac:dyDescent="0.25">
      <c r="A3640" t="str">
        <f>"490531001"</f>
        <v>490531001</v>
      </c>
      <c r="B3640" t="str">
        <f>"EHPAD SAINT-JOSEPH"</f>
        <v>EHPAD SAINT-JOSEPH</v>
      </c>
      <c r="C3640" t="s">
        <v>78</v>
      </c>
    </row>
    <row r="3641" spans="1:3" x14ac:dyDescent="0.25">
      <c r="A3641" t="str">
        <f>"490535648"</f>
        <v>490535648</v>
      </c>
      <c r="B3641" t="str">
        <f>"EHPAD PICASSO"</f>
        <v>EHPAD PICASSO</v>
      </c>
      <c r="C3641" t="s">
        <v>78</v>
      </c>
    </row>
    <row r="3642" spans="1:3" x14ac:dyDescent="0.25">
      <c r="A3642" t="str">
        <f>"490536018"</f>
        <v>490536018</v>
      </c>
      <c r="B3642" t="str">
        <f>"EHPAD LES CORDELIERS"</f>
        <v>EHPAD LES CORDELIERS</v>
      </c>
      <c r="C3642" t="s">
        <v>78</v>
      </c>
    </row>
    <row r="3643" spans="1:3" x14ac:dyDescent="0.25">
      <c r="A3643" t="str">
        <f>"490536026"</f>
        <v>490536026</v>
      </c>
      <c r="B3643" t="str">
        <f>"EHPAD GILLES DE TYR"</f>
        <v>EHPAD GILLES DE TYR</v>
      </c>
      <c r="C3643" t="s">
        <v>78</v>
      </c>
    </row>
    <row r="3644" spans="1:3" x14ac:dyDescent="0.25">
      <c r="A3644" t="str">
        <f>"490536042"</f>
        <v>490536042</v>
      </c>
      <c r="B3644" t="str">
        <f>"EHPAD ANTOINE CRISTAL"</f>
        <v>EHPAD ANTOINE CRISTAL</v>
      </c>
      <c r="C3644" t="s">
        <v>78</v>
      </c>
    </row>
    <row r="3645" spans="1:3" x14ac:dyDescent="0.25">
      <c r="A3645" t="str">
        <f>"490536059"</f>
        <v>490536059</v>
      </c>
      <c r="B3645" t="str">
        <f>"EHPAD ESBV BAUGE"</f>
        <v>EHPAD ESBV BAUGE</v>
      </c>
      <c r="C3645" t="s">
        <v>78</v>
      </c>
    </row>
    <row r="3646" spans="1:3" x14ac:dyDescent="0.25">
      <c r="A3646" t="str">
        <f>"490536067"</f>
        <v>490536067</v>
      </c>
      <c r="B3646" t="str">
        <f>"EHPAD ESBV BEAUFORT"</f>
        <v>EHPAD ESBV BEAUFORT</v>
      </c>
      <c r="C3646" t="s">
        <v>78</v>
      </c>
    </row>
    <row r="3647" spans="1:3" x14ac:dyDescent="0.25">
      <c r="A3647" t="str">
        <f>"490536075"</f>
        <v>490536075</v>
      </c>
      <c r="B3647" t="str">
        <f>"EHPAD ST JEAN CH AIME JALLOT"</f>
        <v>EHPAD ST JEAN CH AIME JALLOT</v>
      </c>
      <c r="C3647" t="s">
        <v>78</v>
      </c>
    </row>
    <row r="3648" spans="1:3" x14ac:dyDescent="0.25">
      <c r="A3648" t="str">
        <f>"490536083"</f>
        <v>490536083</v>
      </c>
      <c r="B3648" t="str">
        <f>"EHPAD CH DE LA CORNICHE ANGEVINE"</f>
        <v>EHPAD CH DE LA CORNICHE ANGEVINE</v>
      </c>
      <c r="C3648" t="s">
        <v>78</v>
      </c>
    </row>
    <row r="3649" spans="1:3" x14ac:dyDescent="0.25">
      <c r="A3649" t="str">
        <f>"490536133"</f>
        <v>490536133</v>
      </c>
      <c r="B3649" t="str">
        <f>"EHPAD CHI LYS HYROME"</f>
        <v>EHPAD CHI LYS HYROME</v>
      </c>
      <c r="C3649" t="s">
        <v>78</v>
      </c>
    </row>
    <row r="3650" spans="1:3" x14ac:dyDescent="0.25">
      <c r="A3650" t="str">
        <f>"490536141"</f>
        <v>490536141</v>
      </c>
      <c r="B3650" t="str">
        <f>"EHPAD CH DOUE EN ANJOU"</f>
        <v>EHPAD CH DOUE EN ANJOU</v>
      </c>
      <c r="C3650" t="s">
        <v>78</v>
      </c>
    </row>
    <row r="3651" spans="1:3" x14ac:dyDescent="0.25">
      <c r="A3651" t="str">
        <f>"490536158"</f>
        <v>490536158</v>
      </c>
      <c r="B3651" t="str">
        <f>"EHPAD CH LUCIEN BOISSIN"</f>
        <v>EHPAD CH LUCIEN BOISSIN</v>
      </c>
      <c r="C3651" t="s">
        <v>78</v>
      </c>
    </row>
    <row r="3652" spans="1:3" x14ac:dyDescent="0.25">
      <c r="A3652" t="str">
        <f>"490536166"</f>
        <v>490536166</v>
      </c>
      <c r="B3652" t="str">
        <f>"EHPAD CH LAYON-AUBANCE"</f>
        <v>EHPAD CH LAYON-AUBANCE</v>
      </c>
      <c r="C3652" t="s">
        <v>78</v>
      </c>
    </row>
    <row r="3653" spans="1:3" x14ac:dyDescent="0.25">
      <c r="A3653" t="str">
        <f>"490536174"</f>
        <v>490536174</v>
      </c>
      <c r="B3653" t="str">
        <f>"EHPAD DOMAINE DE LA PREVALAYE"</f>
        <v>EHPAD DOMAINE DE LA PREVALAYE</v>
      </c>
      <c r="C3653" t="s">
        <v>78</v>
      </c>
    </row>
    <row r="3654" spans="1:3" x14ac:dyDescent="0.25">
      <c r="A3654" t="str">
        <f>"490536182"</f>
        <v>490536182</v>
      </c>
      <c r="B3654" t="str">
        <f>"EHPAD RESIDENCES LES LIGERIENNES"</f>
        <v>EHPAD RESIDENCES LES LIGERIENNES</v>
      </c>
      <c r="C3654" t="s">
        <v>78</v>
      </c>
    </row>
    <row r="3655" spans="1:3" x14ac:dyDescent="0.25">
      <c r="A3655" t="str">
        <f>"490536190"</f>
        <v>490536190</v>
      </c>
      <c r="B3655" t="str">
        <f>"EHPAD RESIDENCE DU VAL D'OUDON"</f>
        <v>EHPAD RESIDENCE DU VAL D'OUDON</v>
      </c>
      <c r="C3655" t="s">
        <v>78</v>
      </c>
    </row>
    <row r="3656" spans="1:3" x14ac:dyDescent="0.25">
      <c r="A3656" t="str">
        <f>"490536208"</f>
        <v>490536208</v>
      </c>
      <c r="B3656" t="str">
        <f>"EHPAD SAINT MARTIN"</f>
        <v>EHPAD SAINT MARTIN</v>
      </c>
      <c r="C3656" t="s">
        <v>78</v>
      </c>
    </row>
    <row r="3657" spans="1:3" x14ac:dyDescent="0.25">
      <c r="A3657" t="str">
        <f>"490536216"</f>
        <v>490536216</v>
      </c>
      <c r="B3657" t="str">
        <f>"EHPAD VILLAGE SANTE SAINT JOSEPH"</f>
        <v>EHPAD VILLAGE SANTE SAINT JOSEPH</v>
      </c>
      <c r="C3657" t="s">
        <v>78</v>
      </c>
    </row>
    <row r="3658" spans="1:3" x14ac:dyDescent="0.25">
      <c r="A3658" t="str">
        <f>"490536471"</f>
        <v>490536471</v>
      </c>
      <c r="B3658" t="str">
        <f>"EHPAD JEANSON"</f>
        <v>EHPAD JEANSON</v>
      </c>
      <c r="C3658" t="s">
        <v>78</v>
      </c>
    </row>
    <row r="3659" spans="1:3" x14ac:dyDescent="0.25">
      <c r="A3659" t="str">
        <f>"490536547"</f>
        <v>490536547</v>
      </c>
      <c r="B3659" t="str">
        <f>"EHPAD LA CORMETIERE"</f>
        <v>EHPAD LA CORMETIERE</v>
      </c>
      <c r="C3659" t="s">
        <v>78</v>
      </c>
    </row>
    <row r="3660" spans="1:3" x14ac:dyDescent="0.25">
      <c r="A3660" t="str">
        <f>"490536562"</f>
        <v>490536562</v>
      </c>
      <c r="B3660" t="str">
        <f>"EHPAD LES CAPUCINS"</f>
        <v>EHPAD LES CAPUCINS</v>
      </c>
      <c r="C3660" t="s">
        <v>78</v>
      </c>
    </row>
    <row r="3661" spans="1:3" x14ac:dyDescent="0.25">
      <c r="A3661" t="str">
        <f>"490538576"</f>
        <v>490538576</v>
      </c>
      <c r="B3661" t="str">
        <f>"EHPAD LAC DE MAINE"</f>
        <v>EHPAD LAC DE MAINE</v>
      </c>
      <c r="C3661" t="s">
        <v>78</v>
      </c>
    </row>
    <row r="3662" spans="1:3" x14ac:dyDescent="0.25">
      <c r="A3662" t="str">
        <f>"490538626"</f>
        <v>490538626</v>
      </c>
      <c r="B3662" t="str">
        <f>"EHPAD LE LOGIS DES JARDINS"</f>
        <v>EHPAD LE LOGIS DES JARDINS</v>
      </c>
      <c r="C3662" t="s">
        <v>78</v>
      </c>
    </row>
    <row r="3663" spans="1:3" x14ac:dyDescent="0.25">
      <c r="A3663" t="str">
        <f>"490538832"</f>
        <v>490538832</v>
      </c>
      <c r="B3663" t="str">
        <f>"EHPAD SAINTE ANNE"</f>
        <v>EHPAD SAINTE ANNE</v>
      </c>
      <c r="C3663" t="s">
        <v>78</v>
      </c>
    </row>
    <row r="3664" spans="1:3" x14ac:dyDescent="0.25">
      <c r="A3664" t="str">
        <f>"490538840"</f>
        <v>490538840</v>
      </c>
      <c r="B3664" t="str">
        <f>"EHPAD LE CERCLE DES AINES ANGERS"</f>
        <v>EHPAD LE CERCLE DES AINES ANGERS</v>
      </c>
      <c r="C3664" t="s">
        <v>78</v>
      </c>
    </row>
    <row r="3665" spans="1:3" x14ac:dyDescent="0.25">
      <c r="A3665" t="str">
        <f>"490539236"</f>
        <v>490539236</v>
      </c>
      <c r="B3665" t="str">
        <f>"EHPAD LE PARC DE LA PLESSE"</f>
        <v>EHPAD LE PARC DE LA PLESSE</v>
      </c>
      <c r="C3665" t="s">
        <v>78</v>
      </c>
    </row>
    <row r="3666" spans="1:3" x14ac:dyDescent="0.25">
      <c r="A3666" t="str">
        <f>"490540481"</f>
        <v>490540481</v>
      </c>
      <c r="B3666" t="str">
        <f>"EHPAD DES DEUX CLOCHERS"</f>
        <v>EHPAD DES DEUX CLOCHERS</v>
      </c>
      <c r="C3666" t="s">
        <v>78</v>
      </c>
    </row>
    <row r="3667" spans="1:3" x14ac:dyDescent="0.25">
      <c r="A3667" t="str">
        <f>"490541117"</f>
        <v>490541117</v>
      </c>
      <c r="B3667" t="str">
        <f>"EHPAD CESAR GEOFFRAY"</f>
        <v>EHPAD CESAR GEOFFRAY</v>
      </c>
      <c r="C3667" t="s">
        <v>78</v>
      </c>
    </row>
    <row r="3668" spans="1:3" x14ac:dyDescent="0.25">
      <c r="A3668" t="str">
        <f>"490541208"</f>
        <v>490541208</v>
      </c>
      <c r="B3668" t="str">
        <f>"EHPAD L'EPINETTE"</f>
        <v>EHPAD L'EPINETTE</v>
      </c>
      <c r="C3668" t="s">
        <v>78</v>
      </c>
    </row>
    <row r="3669" spans="1:3" x14ac:dyDescent="0.25">
      <c r="A3669" t="str">
        <f>"490541497"</f>
        <v>490541497</v>
      </c>
      <c r="B3669" t="str">
        <f>"EHPAD FRANÇOISE D'ANDIGNE"</f>
        <v>EHPAD FRANÇOISE D'ANDIGNE</v>
      </c>
      <c r="C3669" t="s">
        <v>78</v>
      </c>
    </row>
    <row r="3670" spans="1:3" x14ac:dyDescent="0.25">
      <c r="A3670" t="str">
        <f>"490542644"</f>
        <v>490542644</v>
      </c>
      <c r="B3670" t="str">
        <f>"EHPAD ALIENOR D AQUITAINE"</f>
        <v>EHPAD ALIENOR D AQUITAINE</v>
      </c>
      <c r="C3670" t="s">
        <v>78</v>
      </c>
    </row>
    <row r="3671" spans="1:3" x14ac:dyDescent="0.25">
      <c r="A3671" t="str">
        <f>"490542792"</f>
        <v>490542792</v>
      </c>
      <c r="B3671" t="str">
        <f>"EHPAD LA RETRAITE EMERA"</f>
        <v>EHPAD LA RETRAITE EMERA</v>
      </c>
      <c r="C3671" t="s">
        <v>78</v>
      </c>
    </row>
    <row r="3672" spans="1:3" x14ac:dyDescent="0.25">
      <c r="A3672" t="str">
        <f>"500000088"</f>
        <v>500000088</v>
      </c>
      <c r="B3672" t="str">
        <f>"EHPAD DE PONTORSON"</f>
        <v>EHPAD DE PONTORSON</v>
      </c>
      <c r="C3672" t="s">
        <v>69</v>
      </c>
    </row>
    <row r="3673" spans="1:3" x14ac:dyDescent="0.25">
      <c r="A3673" t="str">
        <f>"500000492"</f>
        <v>500000492</v>
      </c>
      <c r="B3673" t="str">
        <f>"EHPAD 'LA CLAIRIÈRE DES BERNARDINS'"</f>
        <v>EHPAD 'LA CLAIRIÈRE DES BERNARDINS'</v>
      </c>
      <c r="C3673" t="s">
        <v>69</v>
      </c>
    </row>
    <row r="3674" spans="1:3" x14ac:dyDescent="0.25">
      <c r="A3674" t="str">
        <f>"500002332"</f>
        <v>500002332</v>
      </c>
      <c r="B3674" t="str">
        <f>"EHPAD 'SAINT JOSEPH' - SOURDEVAL"</f>
        <v>EHPAD 'SAINT JOSEPH' - SOURDEVAL</v>
      </c>
      <c r="C3674" t="s">
        <v>69</v>
      </c>
    </row>
    <row r="3675" spans="1:3" x14ac:dyDescent="0.25">
      <c r="A3675" t="str">
        <f>"500002431"</f>
        <v>500002431</v>
      </c>
      <c r="B3675" t="str">
        <f>"EHPAD ' L'ESPERANCE'-ST PIERRE EGLISE"</f>
        <v>EHPAD ' L'ESPERANCE'-ST PIERRE EGLISE</v>
      </c>
      <c r="C3675" t="s">
        <v>69</v>
      </c>
    </row>
    <row r="3676" spans="1:3" x14ac:dyDescent="0.25">
      <c r="A3676" t="str">
        <f>"500002670"</f>
        <v>500002670</v>
      </c>
      <c r="B3676" t="str">
        <f>"EHPAD 'LES HORTENSIAS' -  MARIGNY"</f>
        <v>EHPAD 'LES HORTENSIAS' -  MARIGNY</v>
      </c>
      <c r="C3676" t="s">
        <v>69</v>
      </c>
    </row>
    <row r="3677" spans="1:3" x14ac:dyDescent="0.25">
      <c r="A3677" t="str">
        <f>"500002720"</f>
        <v>500002720</v>
      </c>
      <c r="B3677" t="str">
        <f>"EHPAD LES 4 PROVINCES"</f>
        <v>EHPAD LES 4 PROVINCES</v>
      </c>
      <c r="C3677" t="s">
        <v>69</v>
      </c>
    </row>
    <row r="3678" spans="1:3" x14ac:dyDescent="0.25">
      <c r="A3678" t="str">
        <f>"500002738"</f>
        <v>500002738</v>
      </c>
      <c r="B3678" t="str">
        <f>"EHPAD DU VAL DE SAIRE - BARFLEUR"</f>
        <v>EHPAD DU VAL DE SAIRE - BARFLEUR</v>
      </c>
      <c r="C3678" t="s">
        <v>69</v>
      </c>
    </row>
    <row r="3679" spans="1:3" x14ac:dyDescent="0.25">
      <c r="A3679" t="str">
        <f>"500002746"</f>
        <v>500002746</v>
      </c>
      <c r="B3679" t="str">
        <f>"EHPAD DE CARQUEBUT"</f>
        <v>EHPAD DE CARQUEBUT</v>
      </c>
      <c r="C3679" t="s">
        <v>69</v>
      </c>
    </row>
    <row r="3680" spans="1:3" x14ac:dyDescent="0.25">
      <c r="A3680" t="str">
        <f>"500002753"</f>
        <v>500002753</v>
      </c>
      <c r="B3680" t="str">
        <f>"EHPAD ' DELIVET'  - DUCEY"</f>
        <v>EHPAD ' DELIVET'  - DUCEY</v>
      </c>
      <c r="C3680" t="s">
        <v>69</v>
      </c>
    </row>
    <row r="3681" spans="1:3" x14ac:dyDescent="0.25">
      <c r="A3681" t="str">
        <f>"500002779"</f>
        <v>500002779</v>
      </c>
      <c r="B3681" t="str">
        <f>"EHPAD 'GEORGES PEUVREL'-LA HAYE PESNEL"</f>
        <v>EHPAD 'GEORGES PEUVREL'-LA HAYE PESNEL</v>
      </c>
      <c r="C3681" t="s">
        <v>69</v>
      </c>
    </row>
    <row r="3682" spans="1:3" x14ac:dyDescent="0.25">
      <c r="A3682" t="str">
        <f>"500002795"</f>
        <v>500002795</v>
      </c>
      <c r="B3682" t="str">
        <f>"EHPAD 'JOURDAN' - MAGNEVILLE"</f>
        <v>EHPAD 'JOURDAN' - MAGNEVILLE</v>
      </c>
      <c r="C3682" t="s">
        <v>69</v>
      </c>
    </row>
    <row r="3683" spans="1:3" x14ac:dyDescent="0.25">
      <c r="A3683" t="str">
        <f>"500002803"</f>
        <v>500002803</v>
      </c>
      <c r="B3683" t="str">
        <f>"EHPAD LA DEMEURE CASSINE - MONTEBOURG"</f>
        <v>EHPAD LA DEMEURE CASSINE - MONTEBOURG</v>
      </c>
      <c r="C3683" t="s">
        <v>69</v>
      </c>
    </row>
    <row r="3684" spans="1:3" x14ac:dyDescent="0.25">
      <c r="A3684" t="str">
        <f>"500002811"</f>
        <v>500002811</v>
      </c>
      <c r="B3684" t="str">
        <f>"EHPAD 'LEMPERIERE'"</f>
        <v>EHPAD 'LEMPERIERE'</v>
      </c>
      <c r="C3684" t="s">
        <v>69</v>
      </c>
    </row>
    <row r="3685" spans="1:3" x14ac:dyDescent="0.25">
      <c r="A3685" t="str">
        <f>"500002829"</f>
        <v>500002829</v>
      </c>
      <c r="B3685" t="str">
        <f>"EHPAD 'RÉSIDENCE DES ÉGLANTINES'"</f>
        <v>EHPAD 'RÉSIDENCE DES ÉGLANTINES'</v>
      </c>
      <c r="C3685" t="s">
        <v>69</v>
      </c>
    </row>
    <row r="3686" spans="1:3" x14ac:dyDescent="0.25">
      <c r="A3686" t="str">
        <f>"500002837"</f>
        <v>500002837</v>
      </c>
      <c r="B3686" t="str">
        <f>"EHPAD - SAINTE MARIE DU MONT"</f>
        <v>EHPAD - SAINTE MARIE DU MONT</v>
      </c>
      <c r="C3686" t="s">
        <v>69</v>
      </c>
    </row>
    <row r="3687" spans="1:3" x14ac:dyDescent="0.25">
      <c r="A3687" t="str">
        <f>"500002845"</f>
        <v>500002845</v>
      </c>
      <c r="B3687" t="str">
        <f>"EHPAD - SAINTE MERE EGLISE"</f>
        <v>EHPAD - SAINTE MERE EGLISE</v>
      </c>
      <c r="C3687" t="s">
        <v>69</v>
      </c>
    </row>
    <row r="3688" spans="1:3" x14ac:dyDescent="0.25">
      <c r="A3688" t="str">
        <f>"500002852"</f>
        <v>500002852</v>
      </c>
      <c r="B3688" t="str">
        <f>"EHPAD LES LICES-ST SAUVEUR LE VICOMTE"</f>
        <v>EHPAD LES LICES-ST SAUVEUR LE VICOMTE</v>
      </c>
      <c r="C3688" t="s">
        <v>69</v>
      </c>
    </row>
    <row r="3689" spans="1:3" x14ac:dyDescent="0.25">
      <c r="A3689" t="str">
        <f>"500002860"</f>
        <v>500002860</v>
      </c>
      <c r="B3689" t="str">
        <f>"EHPAD DU VAL DE SAIRE-ST VAAST"</f>
        <v>EHPAD DU VAL DE SAIRE-ST VAAST</v>
      </c>
      <c r="C3689" t="s">
        <v>69</v>
      </c>
    </row>
    <row r="3690" spans="1:3" x14ac:dyDescent="0.25">
      <c r="A3690" t="str">
        <f>"500002878"</f>
        <v>500002878</v>
      </c>
      <c r="B3690" t="str">
        <f>"EHPAD 'AU BON ACCUEIL' - SARTILLY BAIE"</f>
        <v>EHPAD 'AU BON ACCUEIL' - SARTILLY BAIE</v>
      </c>
      <c r="C3690" t="s">
        <v>69</v>
      </c>
    </row>
    <row r="3691" spans="1:3" x14ac:dyDescent="0.25">
      <c r="A3691" t="str">
        <f>"500002886"</f>
        <v>500002886</v>
      </c>
      <c r="B3691" t="str">
        <f>"EHPAD 'LE TEILLEUL'"</f>
        <v>EHPAD 'LE TEILLEUL'</v>
      </c>
      <c r="C3691" t="s">
        <v>69</v>
      </c>
    </row>
    <row r="3692" spans="1:3" x14ac:dyDescent="0.25">
      <c r="A3692" t="str">
        <f>"500002894"</f>
        <v>500002894</v>
      </c>
      <c r="B3692" t="str">
        <f>"EHPAD LOUIS PERIER - AGON-COUTAINVILLE"</f>
        <v>EHPAD LOUIS PERIER - AGON-COUTAINVILLE</v>
      </c>
      <c r="C3692" t="s">
        <v>69</v>
      </c>
    </row>
    <row r="3693" spans="1:3" x14ac:dyDescent="0.25">
      <c r="A3693" t="str">
        <f>"500003017"</f>
        <v>500003017</v>
      </c>
      <c r="B3693" t="str">
        <f>"EHPAD 'SAINT FRANCOIS'-BARNEVILLE-CART"</f>
        <v>EHPAD 'SAINT FRANCOIS'-BARNEVILLE-CART</v>
      </c>
      <c r="C3693" t="s">
        <v>69</v>
      </c>
    </row>
    <row r="3694" spans="1:3" x14ac:dyDescent="0.25">
      <c r="A3694" t="str">
        <f>"500004122"</f>
        <v>500004122</v>
      </c>
      <c r="B3694" t="str">
        <f>"EHPAD PIERRE BEREGOVOY"</f>
        <v>EHPAD PIERRE BEREGOVOY</v>
      </c>
      <c r="C3694" t="s">
        <v>69</v>
      </c>
    </row>
    <row r="3695" spans="1:3" x14ac:dyDescent="0.25">
      <c r="A3695" t="str">
        <f>"500004189"</f>
        <v>500004189</v>
      </c>
      <c r="B3695" t="str">
        <f>"EHPAD 'PEREAU - LEJAMTEL'-BREHAL"</f>
        <v>EHPAD 'PEREAU - LEJAMTEL'-BREHAL</v>
      </c>
      <c r="C3695" t="s">
        <v>69</v>
      </c>
    </row>
    <row r="3696" spans="1:3" x14ac:dyDescent="0.25">
      <c r="A3696" t="str">
        <f>"500004197"</f>
        <v>500004197</v>
      </c>
      <c r="B3696" t="str">
        <f>"EHPAD LE PAYS VALOGNAIS DE VALOGNES"</f>
        <v>EHPAD LE PAYS VALOGNAIS DE VALOGNES</v>
      </c>
      <c r="C3696" t="s">
        <v>69</v>
      </c>
    </row>
    <row r="3697" spans="1:3" x14ac:dyDescent="0.25">
      <c r="A3697" t="str">
        <f>"500004221"</f>
        <v>500004221</v>
      </c>
      <c r="B3697" t="str">
        <f>"EHPAD RUE DES DOUETS - HL MORTAIN"</f>
        <v>EHPAD RUE DES DOUETS - HL MORTAIN</v>
      </c>
      <c r="C3697" t="s">
        <v>69</v>
      </c>
    </row>
    <row r="3698" spans="1:3" x14ac:dyDescent="0.25">
      <c r="A3698" t="str">
        <f>"500004239"</f>
        <v>500004239</v>
      </c>
      <c r="B3698" t="str">
        <f>"EHPAD 'LE MANOIR' - CH COUTANCES"</f>
        <v>EHPAD 'LE MANOIR' - CH COUTANCES</v>
      </c>
      <c r="C3698" t="s">
        <v>69</v>
      </c>
    </row>
    <row r="3699" spans="1:3" x14ac:dyDescent="0.25">
      <c r="A3699" t="str">
        <f>"500004270"</f>
        <v>500004270</v>
      </c>
      <c r="B3699" t="str">
        <f>"EHPAD - CH SAINT HILAIRE DU HARCOUET"</f>
        <v>EHPAD - CH SAINT HILAIRE DU HARCOUET</v>
      </c>
      <c r="C3699" t="s">
        <v>69</v>
      </c>
    </row>
    <row r="3700" spans="1:3" x14ac:dyDescent="0.25">
      <c r="A3700" t="str">
        <f>"500004346"</f>
        <v>500004346</v>
      </c>
      <c r="B3700" t="str">
        <f>"EHPAD DEMEURE SAINT CLAIR"</f>
        <v>EHPAD DEMEURE SAINT CLAIR</v>
      </c>
      <c r="C3700" t="s">
        <v>69</v>
      </c>
    </row>
    <row r="3701" spans="1:3" x14ac:dyDescent="0.25">
      <c r="A3701" t="str">
        <f>"500004536"</f>
        <v>500004536</v>
      </c>
      <c r="B3701" t="str">
        <f>"EHPAD LE GROS HETRE - CHPC"</f>
        <v>EHPAD LE GROS HETRE - CHPC</v>
      </c>
      <c r="C3701" t="s">
        <v>69</v>
      </c>
    </row>
    <row r="3702" spans="1:3" x14ac:dyDescent="0.25">
      <c r="A3702" t="str">
        <f>"500004585"</f>
        <v>500004585</v>
      </c>
      <c r="B3702" t="str">
        <f>"EHPAD 'LA BUCAILLE' - CHERBOURG"</f>
        <v>EHPAD 'LA BUCAILLE' - CHERBOURG</v>
      </c>
      <c r="C3702" t="s">
        <v>69</v>
      </c>
    </row>
    <row r="3703" spans="1:3" x14ac:dyDescent="0.25">
      <c r="A3703" t="str">
        <f>"500004668"</f>
        <v>500004668</v>
      </c>
      <c r="B3703" t="str">
        <f>"EHPAD 'LEMPERIERE' - CERENCES"</f>
        <v>EHPAD 'LEMPERIERE' - CERENCES</v>
      </c>
      <c r="C3703" t="s">
        <v>69</v>
      </c>
    </row>
    <row r="3704" spans="1:3" x14ac:dyDescent="0.25">
      <c r="A3704" t="str">
        <f>"500004718"</f>
        <v>500004718</v>
      </c>
      <c r="B3704" t="str">
        <f>"EHPAD 'SAINT COEUR DE MARIE'-AVRANCHES"</f>
        <v>EHPAD 'SAINT COEUR DE MARIE'-AVRANCHES</v>
      </c>
      <c r="C3704" t="s">
        <v>69</v>
      </c>
    </row>
    <row r="3705" spans="1:3" x14ac:dyDescent="0.25">
      <c r="A3705" t="str">
        <f>"500004783"</f>
        <v>500004783</v>
      </c>
      <c r="B3705" t="str">
        <f>"EHPAD ELISABETH DE SURVILLE - PICAUVIL"</f>
        <v>EHPAD ELISABETH DE SURVILLE - PICAUVIL</v>
      </c>
      <c r="C3705" t="s">
        <v>69</v>
      </c>
    </row>
    <row r="3706" spans="1:3" x14ac:dyDescent="0.25">
      <c r="A3706" t="str">
        <f>"500004817"</f>
        <v>500004817</v>
      </c>
      <c r="B3706" t="str">
        <f>"EHPAD 'MAISON D'ACCUEIL DU BEUVRON'"</f>
        <v>EHPAD 'MAISON D'ACCUEIL DU BEUVRON'</v>
      </c>
      <c r="C3706" t="s">
        <v>69</v>
      </c>
    </row>
    <row r="3707" spans="1:3" x14ac:dyDescent="0.25">
      <c r="A3707" t="str">
        <f>"500004841"</f>
        <v>500004841</v>
      </c>
      <c r="B3707" t="str">
        <f>"EHPAD 'RENE ET LUCILE SCHMITT'"</f>
        <v>EHPAD 'RENE ET LUCILE SCHMITT'</v>
      </c>
      <c r="C3707" t="s">
        <v>69</v>
      </c>
    </row>
    <row r="3708" spans="1:3" x14ac:dyDescent="0.25">
      <c r="A3708" t="str">
        <f>"500004940"</f>
        <v>500004940</v>
      </c>
      <c r="B3708" t="str">
        <f>"EHPAD 'FONTAINE FLEURY'-ST LO"</f>
        <v>EHPAD 'FONTAINE FLEURY'-ST LO</v>
      </c>
      <c r="C3708" t="s">
        <v>69</v>
      </c>
    </row>
    <row r="3709" spans="1:3" x14ac:dyDescent="0.25">
      <c r="A3709" t="str">
        <f>"500004957"</f>
        <v>500004957</v>
      </c>
      <c r="B3709" t="str">
        <f>"EHPAD LA HAYE-MONTSENELLE"</f>
        <v>EHPAD LA HAYE-MONTSENELLE</v>
      </c>
      <c r="C3709" t="s">
        <v>69</v>
      </c>
    </row>
    <row r="3710" spans="1:3" x14ac:dyDescent="0.25">
      <c r="A3710" t="str">
        <f>"500005038"</f>
        <v>500005038</v>
      </c>
      <c r="B3710" t="str">
        <f>"EHPAD CONSTANTIA - COUTANCES"</f>
        <v>EHPAD CONSTANTIA - COUTANCES</v>
      </c>
      <c r="C3710" t="s">
        <v>69</v>
      </c>
    </row>
    <row r="3711" spans="1:3" x14ac:dyDescent="0.25">
      <c r="A3711" t="str">
        <f>"500005046"</f>
        <v>500005046</v>
      </c>
      <c r="B3711" t="str">
        <f>"EHPAD RESIDENCE DU PARC"</f>
        <v>EHPAD RESIDENCE DU PARC</v>
      </c>
      <c r="C3711" t="s">
        <v>69</v>
      </c>
    </row>
    <row r="3712" spans="1:3" x14ac:dyDescent="0.25">
      <c r="A3712" t="str">
        <f>"500010244"</f>
        <v>500010244</v>
      </c>
      <c r="B3712" t="str">
        <f>"EHPAD 'LA QUINCAMPOISE'"</f>
        <v>EHPAD 'LA QUINCAMPOISE'</v>
      </c>
      <c r="C3712" t="s">
        <v>69</v>
      </c>
    </row>
    <row r="3713" spans="1:3" x14ac:dyDescent="0.25">
      <c r="A3713" t="str">
        <f>"500012174"</f>
        <v>500012174</v>
      </c>
      <c r="B3713" t="str">
        <f>"EHPAD ARC-EN-SÉE - CH AVRANCHES"</f>
        <v>EHPAD ARC-EN-SÉE - CH AVRANCHES</v>
      </c>
      <c r="C3713" t="s">
        <v>69</v>
      </c>
    </row>
    <row r="3714" spans="1:3" x14ac:dyDescent="0.25">
      <c r="A3714" t="str">
        <f>"500012190"</f>
        <v>500012190</v>
      </c>
      <c r="B3714" t="str">
        <f>"EHPAD DE SAINT-LO"</f>
        <v>EHPAD DE SAINT-LO</v>
      </c>
      <c r="C3714" t="s">
        <v>69</v>
      </c>
    </row>
    <row r="3715" spans="1:3" x14ac:dyDescent="0.25">
      <c r="A3715" t="str">
        <f>"500012208"</f>
        <v>500012208</v>
      </c>
      <c r="B3715" t="str">
        <f>"EHPAD - CH CARENTAN"</f>
        <v>EHPAD - CH CARENTAN</v>
      </c>
      <c r="C3715" t="s">
        <v>69</v>
      </c>
    </row>
    <row r="3716" spans="1:3" x14ac:dyDescent="0.25">
      <c r="A3716" t="str">
        <f>"500012216"</f>
        <v>500012216</v>
      </c>
      <c r="B3716" t="str">
        <f>"EHPAD 'LES POMMIERS' - CH COUTANCES"</f>
        <v>EHPAD 'LES POMMIERS' - CH COUTANCES</v>
      </c>
      <c r="C3716" t="s">
        <v>69</v>
      </c>
    </row>
    <row r="3717" spans="1:3" x14ac:dyDescent="0.25">
      <c r="A3717" t="str">
        <f>"500012224"</f>
        <v>500012224</v>
      </c>
      <c r="B3717" t="str">
        <f>"EHPAD RUE DE LA 30E DIV AMERIC-HL MORT"</f>
        <v>EHPAD RUE DE LA 30E DIV AMERIC-HL MORT</v>
      </c>
      <c r="C3717" t="s">
        <v>69</v>
      </c>
    </row>
    <row r="3718" spans="1:3" x14ac:dyDescent="0.25">
      <c r="A3718" t="str">
        <f>"500012232"</f>
        <v>500012232</v>
      </c>
      <c r="B3718" t="str">
        <f>"EHPAD 'RESIDENCE ANAÏS DE GROUCY'"</f>
        <v>EHPAD 'RESIDENCE ANAÏS DE GROUCY'</v>
      </c>
      <c r="C3718" t="s">
        <v>69</v>
      </c>
    </row>
    <row r="3719" spans="1:3" x14ac:dyDescent="0.25">
      <c r="A3719" t="str">
        <f>"500012240"</f>
        <v>500012240</v>
      </c>
      <c r="B3719" t="str">
        <f>"EHPAD - HL ST-JAMES"</f>
        <v>EHPAD - HL ST-JAMES</v>
      </c>
      <c r="C3719" t="s">
        <v>69</v>
      </c>
    </row>
    <row r="3720" spans="1:3" x14ac:dyDescent="0.25">
      <c r="A3720" t="str">
        <f>"500012513"</f>
        <v>500012513</v>
      </c>
      <c r="B3720" t="str">
        <f>"EHPAD DE  VILLEDIEU LES POELES"</f>
        <v>EHPAD DE  VILLEDIEU LES POELES</v>
      </c>
      <c r="C3720" t="s">
        <v>69</v>
      </c>
    </row>
    <row r="3721" spans="1:3" x14ac:dyDescent="0.25">
      <c r="A3721" t="str">
        <f>"500013099"</f>
        <v>500013099</v>
      </c>
      <c r="B3721" t="str">
        <f>"EHPAD PAUL POIRIER-CH GRANVILLE"</f>
        <v>EHPAD PAUL POIRIER-CH GRANVILLE</v>
      </c>
      <c r="C3721" t="s">
        <v>69</v>
      </c>
    </row>
    <row r="3722" spans="1:3" x14ac:dyDescent="0.25">
      <c r="A3722" t="str">
        <f>"500013453"</f>
        <v>500013453</v>
      </c>
      <c r="B3722" t="str">
        <f>"EHPAD LE DONJON - LA HAYE"</f>
        <v>EHPAD LE DONJON - LA HAYE</v>
      </c>
      <c r="C3722" t="s">
        <v>69</v>
      </c>
    </row>
    <row r="3723" spans="1:3" x14ac:dyDescent="0.25">
      <c r="A3723" t="str">
        <f>"500013578"</f>
        <v>500013578</v>
      </c>
      <c r="B3723" t="str">
        <f>"EHPAD BONNES GENS ST SAUVEUR VILLAGES"</f>
        <v>EHPAD BONNES GENS ST SAUVEUR VILLAGES</v>
      </c>
      <c r="C3723" t="s">
        <v>69</v>
      </c>
    </row>
    <row r="3724" spans="1:3" x14ac:dyDescent="0.25">
      <c r="A3724" t="str">
        <f>"500013628"</f>
        <v>500013628</v>
      </c>
      <c r="B3724" t="str">
        <f>"EHPAD 'SAINT MICHEL' - GRAIGNES"</f>
        <v>EHPAD 'SAINT MICHEL' - GRAIGNES</v>
      </c>
      <c r="C3724" t="s">
        <v>69</v>
      </c>
    </row>
    <row r="3725" spans="1:3" x14ac:dyDescent="0.25">
      <c r="A3725" t="str">
        <f>"500013891"</f>
        <v>500013891</v>
      </c>
      <c r="B3725" t="str">
        <f>"EHPAD' LES TILLEULS' - REFFUVEILLE"</f>
        <v>EHPAD' LES TILLEULS' - REFFUVEILLE</v>
      </c>
      <c r="C3725" t="s">
        <v>69</v>
      </c>
    </row>
    <row r="3726" spans="1:3" x14ac:dyDescent="0.25">
      <c r="A3726" t="str">
        <f>"500014113"</f>
        <v>500014113</v>
      </c>
      <c r="B3726" t="str">
        <f>"EHPAD 'SAINT MICHEL' - ST PAIR SUR MER"</f>
        <v>EHPAD 'SAINT MICHEL' - ST PAIR SUR MER</v>
      </c>
      <c r="C3726" t="s">
        <v>69</v>
      </c>
    </row>
    <row r="3727" spans="1:3" x14ac:dyDescent="0.25">
      <c r="A3727" t="str">
        <f>"500014220"</f>
        <v>500014220</v>
      </c>
      <c r="B3727" t="str">
        <f>"EHPAD 'ROLAND RICORDEAU' - LA HAGUE"</f>
        <v>EHPAD 'ROLAND RICORDEAU' - LA HAGUE</v>
      </c>
      <c r="C3727" t="s">
        <v>69</v>
      </c>
    </row>
    <row r="3728" spans="1:3" x14ac:dyDescent="0.25">
      <c r="A3728" t="str">
        <f>"500014246"</f>
        <v>500014246</v>
      </c>
      <c r="B3728" t="str">
        <f>"RESIDENCE 'LES POMMIERS' - DANGY"</f>
        <v>RESIDENCE 'LES POMMIERS' - DANGY</v>
      </c>
      <c r="C3728" t="s">
        <v>69</v>
      </c>
    </row>
    <row r="3729" spans="1:3" x14ac:dyDescent="0.25">
      <c r="A3729" t="str">
        <f>"500014584"</f>
        <v>500014584</v>
      </c>
      <c r="B3729" t="str">
        <f>"EHPAD 'LES LILAS' - CH COUTANCES"</f>
        <v>EHPAD 'LES LILAS' - CH COUTANCES</v>
      </c>
      <c r="C3729" t="s">
        <v>69</v>
      </c>
    </row>
    <row r="3730" spans="1:3" x14ac:dyDescent="0.25">
      <c r="A3730" t="str">
        <f>"500014683"</f>
        <v>500014683</v>
      </c>
      <c r="B3730" t="str">
        <f>"EHPAD 'LES MERISIERS' - BRECEY"</f>
        <v>EHPAD 'LES MERISIERS' - BRECEY</v>
      </c>
      <c r="C3730" t="s">
        <v>69</v>
      </c>
    </row>
    <row r="3731" spans="1:3" x14ac:dyDescent="0.25">
      <c r="A3731" t="str">
        <f>"500016357"</f>
        <v>500016357</v>
      </c>
      <c r="B3731" t="str">
        <f>"EHPAD 'L'AUBADE' - FLAMANVILLE"</f>
        <v>EHPAD 'L'AUBADE' - FLAMANVILLE</v>
      </c>
      <c r="C3731" t="s">
        <v>69</v>
      </c>
    </row>
    <row r="3732" spans="1:3" x14ac:dyDescent="0.25">
      <c r="A3732" t="str">
        <f>"500016365"</f>
        <v>500016365</v>
      </c>
      <c r="B3732" t="str">
        <f>"EHPAD 'LES HORTENSIAS' - BRICQUEBEC"</f>
        <v>EHPAD 'LES HORTENSIAS' - BRICQUEBEC</v>
      </c>
      <c r="C3732" t="s">
        <v>69</v>
      </c>
    </row>
    <row r="3733" spans="1:3" x14ac:dyDescent="0.25">
      <c r="A3733" t="str">
        <f>"500016431"</f>
        <v>500016431</v>
      </c>
      <c r="B3733" t="str">
        <f>"EHPAD DE TONGE - AVRANCHES"</f>
        <v>EHPAD DE TONGE - AVRANCHES</v>
      </c>
      <c r="C3733" t="s">
        <v>69</v>
      </c>
    </row>
    <row r="3734" spans="1:3" x14ac:dyDescent="0.25">
      <c r="A3734" t="str">
        <f>"500016480"</f>
        <v>500016480</v>
      </c>
      <c r="B3734" t="str">
        <f>"EHPAD RESIDENCE ROCHEBRUNE- MONTMARTIN"</f>
        <v>EHPAD RESIDENCE ROCHEBRUNE- MONTMARTIN</v>
      </c>
      <c r="C3734" t="s">
        <v>69</v>
      </c>
    </row>
    <row r="3735" spans="1:3" x14ac:dyDescent="0.25">
      <c r="A3735" t="str">
        <f>"500016506"</f>
        <v>500016506</v>
      </c>
      <c r="B3735" t="str">
        <f>"EHPAD 'LE VERSAILLES NORMAND'"</f>
        <v>EHPAD 'LE VERSAILLES NORMAND'</v>
      </c>
      <c r="C3735" t="s">
        <v>69</v>
      </c>
    </row>
    <row r="3736" spans="1:3" x14ac:dyDescent="0.25">
      <c r="A3736" t="str">
        <f>"500016613"</f>
        <v>500016613</v>
      </c>
      <c r="B3736" t="str">
        <f>"EHPAD 'LES ELIDES' DU DEZERT"</f>
        <v>EHPAD 'LES ELIDES' DU DEZERT</v>
      </c>
      <c r="C3736" t="s">
        <v>69</v>
      </c>
    </row>
    <row r="3737" spans="1:3" x14ac:dyDescent="0.25">
      <c r="A3737" t="str">
        <f>"500016621"</f>
        <v>500016621</v>
      </c>
      <c r="B3737" t="str">
        <f>"EHPAD 'L'ABBAYE'-CERISY LA FORET"</f>
        <v>EHPAD 'L'ABBAYE'-CERISY LA FORET</v>
      </c>
      <c r="C3737" t="s">
        <v>69</v>
      </c>
    </row>
    <row r="3738" spans="1:3" x14ac:dyDescent="0.25">
      <c r="A3738" t="str">
        <f>"500016670"</f>
        <v>500016670</v>
      </c>
      <c r="B3738" t="str">
        <f>"EHPAD 'LES QUATRE SAISONS'"</f>
        <v>EHPAD 'LES QUATRE SAISONS'</v>
      </c>
      <c r="C3738" t="s">
        <v>69</v>
      </c>
    </row>
    <row r="3739" spans="1:3" x14ac:dyDescent="0.25">
      <c r="A3739" t="str">
        <f>"500016811"</f>
        <v>500016811</v>
      </c>
      <c r="B3739" t="str">
        <f>"EHPAD 'SAINT-GABRIEL' - GRANVILLE"</f>
        <v>EHPAD 'SAINT-GABRIEL' - GRANVILLE</v>
      </c>
      <c r="C3739" t="s">
        <v>69</v>
      </c>
    </row>
    <row r="3740" spans="1:3" x14ac:dyDescent="0.25">
      <c r="A3740" t="str">
        <f>"500016837"</f>
        <v>500016837</v>
      </c>
      <c r="B3740" t="str">
        <f>"EHPAD DE CREANCES"</f>
        <v>EHPAD DE CREANCES</v>
      </c>
      <c r="C3740" t="s">
        <v>69</v>
      </c>
    </row>
    <row r="3741" spans="1:3" x14ac:dyDescent="0.25">
      <c r="A3741" t="str">
        <f>"500016845"</f>
        <v>500016845</v>
      </c>
      <c r="B3741" t="str">
        <f>"EHPAD DE LESSAY"</f>
        <v>EHPAD DE LESSAY</v>
      </c>
      <c r="C3741" t="s">
        <v>69</v>
      </c>
    </row>
    <row r="3742" spans="1:3" x14ac:dyDescent="0.25">
      <c r="A3742" t="str">
        <f>"500016985"</f>
        <v>500016985</v>
      </c>
      <c r="B3742" t="str">
        <f>"EHPAD 'LE PARC FLEURI' - CAMBERNON"</f>
        <v>EHPAD 'LE PARC FLEURI' - CAMBERNON</v>
      </c>
      <c r="C3742" t="s">
        <v>69</v>
      </c>
    </row>
    <row r="3743" spans="1:3" x14ac:dyDescent="0.25">
      <c r="A3743" t="str">
        <f>"500016993"</f>
        <v>500016993</v>
      </c>
      <c r="B3743" t="str">
        <f>"EHPAD 'LA SERENITE'"</f>
        <v>EHPAD 'LA SERENITE'</v>
      </c>
      <c r="C3743" t="s">
        <v>69</v>
      </c>
    </row>
    <row r="3744" spans="1:3" x14ac:dyDescent="0.25">
      <c r="A3744" t="str">
        <f>"500017496"</f>
        <v>500017496</v>
      </c>
      <c r="B3744" t="str">
        <f>"EHPAD 'DEMEURE DU BOIS ARDENT'-ST LO"</f>
        <v>EHPAD 'DEMEURE DU BOIS ARDENT'-ST LO</v>
      </c>
      <c r="C3744" t="s">
        <v>69</v>
      </c>
    </row>
    <row r="3745" spans="1:3" x14ac:dyDescent="0.25">
      <c r="A3745" t="str">
        <f>"500018866"</f>
        <v>500018866</v>
      </c>
      <c r="B3745" t="str">
        <f>"EHPAD RESIDENCE 'L'ERMITAGE'"</f>
        <v>EHPAD RESIDENCE 'L'ERMITAGE'</v>
      </c>
      <c r="C3745" t="s">
        <v>69</v>
      </c>
    </row>
    <row r="3746" spans="1:3" x14ac:dyDescent="0.25">
      <c r="A3746" t="str">
        <f>"500019179"</f>
        <v>500019179</v>
      </c>
      <c r="B3746" t="str">
        <f>"EHPAD 'L'EMERAUDE' - GRANVILLE"</f>
        <v>EHPAD 'L'EMERAUDE' - GRANVILLE</v>
      </c>
      <c r="C3746" t="s">
        <v>69</v>
      </c>
    </row>
    <row r="3747" spans="1:3" x14ac:dyDescent="0.25">
      <c r="A3747" t="str">
        <f>"500019229"</f>
        <v>500019229</v>
      </c>
      <c r="B3747" t="str">
        <f>"EHPAD KORIAN LA GOÉLETTE"</f>
        <v>EHPAD KORIAN LA GOÉLETTE</v>
      </c>
      <c r="C3747" t="s">
        <v>69</v>
      </c>
    </row>
    <row r="3748" spans="1:3" x14ac:dyDescent="0.25">
      <c r="A3748" t="str">
        <f>"500019278"</f>
        <v>500019278</v>
      </c>
      <c r="B3748" t="str">
        <f>"EHPAD 'ELISABETH DE SURVILLE'-MARTINVA"</f>
        <v>EHPAD 'ELISABETH DE SURVILLE'-MARTINVA</v>
      </c>
      <c r="C3748" t="s">
        <v>69</v>
      </c>
    </row>
    <row r="3749" spans="1:3" x14ac:dyDescent="0.25">
      <c r="A3749" t="str">
        <f>"500019328"</f>
        <v>500019328</v>
      </c>
      <c r="B3749" t="str">
        <f>"EHPAD 'LE CLOS À FROMENT - LA GLACERIE"</f>
        <v>EHPAD 'LE CLOS À FROMENT - LA GLACERIE</v>
      </c>
      <c r="C3749" t="s">
        <v>69</v>
      </c>
    </row>
    <row r="3750" spans="1:3" x14ac:dyDescent="0.25">
      <c r="A3750" t="str">
        <f>"500019740"</f>
        <v>500019740</v>
      </c>
      <c r="B3750" t="str">
        <f>"EHPAD 'LES JARDINS D'HENRIETTE'"</f>
        <v>EHPAD 'LES JARDINS D'HENRIETTE'</v>
      </c>
      <c r="C3750" t="s">
        <v>69</v>
      </c>
    </row>
    <row r="3751" spans="1:3" x14ac:dyDescent="0.25">
      <c r="A3751" t="str">
        <f>"500019914"</f>
        <v>500019914</v>
      </c>
      <c r="B3751" t="str">
        <f>"EHPAD 'LES DUNES' - ANNOVILLE"</f>
        <v>EHPAD 'LES DUNES' - ANNOVILLE</v>
      </c>
      <c r="C3751" t="s">
        <v>69</v>
      </c>
    </row>
    <row r="3752" spans="1:3" x14ac:dyDescent="0.25">
      <c r="A3752" t="str">
        <f>"500019989"</f>
        <v>500019989</v>
      </c>
      <c r="B3752" t="str">
        <f>"EHPAD 'LE COISEL' - CH COUTANCES"</f>
        <v>EHPAD 'LE COISEL' - CH COUTANCES</v>
      </c>
      <c r="C3752" t="s">
        <v>69</v>
      </c>
    </row>
    <row r="3753" spans="1:3" x14ac:dyDescent="0.25">
      <c r="A3753" t="str">
        <f>"500020185"</f>
        <v>500020185</v>
      </c>
      <c r="B3753" t="str">
        <f>"EHPAD RÉSIDENCE ANNE LE ROY - ST LO"</f>
        <v>EHPAD RÉSIDENCE ANNE LE ROY - ST LO</v>
      </c>
      <c r="C3753" t="s">
        <v>69</v>
      </c>
    </row>
    <row r="3754" spans="1:3" x14ac:dyDescent="0.25">
      <c r="A3754" t="str">
        <f>"500020656"</f>
        <v>500020656</v>
      </c>
      <c r="B3754" t="str">
        <f>"EHPAD 'LA DEMEURE DU MAUPAS'-CHERBOURG"</f>
        <v>EHPAD 'LA DEMEURE DU MAUPAS'-CHERBOURG</v>
      </c>
      <c r="C3754" t="s">
        <v>69</v>
      </c>
    </row>
    <row r="3755" spans="1:3" x14ac:dyDescent="0.25">
      <c r="A3755" t="str">
        <f>"500020763"</f>
        <v>500020763</v>
      </c>
      <c r="B3755" t="str">
        <f>"EHPAD 'LE VALLON' - SAINT PAIR SUR MER"</f>
        <v>EHPAD 'LE VALLON' - SAINT PAIR SUR MER</v>
      </c>
      <c r="C3755" t="s">
        <v>69</v>
      </c>
    </row>
    <row r="3756" spans="1:3" x14ac:dyDescent="0.25">
      <c r="A3756" t="str">
        <f>"500022140"</f>
        <v>500022140</v>
      </c>
      <c r="B3756" t="str">
        <f>"EHPAD KORIAN RIVE DE SELUNE"</f>
        <v>EHPAD KORIAN RIVE DE SELUNE</v>
      </c>
      <c r="C3756" t="s">
        <v>69</v>
      </c>
    </row>
    <row r="3757" spans="1:3" x14ac:dyDescent="0.25">
      <c r="A3757" t="str">
        <f>"510000094"</f>
        <v>510000094</v>
      </c>
      <c r="B3757" t="str">
        <f>"EHPAD JEAN COLLERY"</f>
        <v>EHPAD JEAN COLLERY</v>
      </c>
      <c r="C3757" t="s">
        <v>62</v>
      </c>
    </row>
    <row r="3758" spans="1:3" x14ac:dyDescent="0.25">
      <c r="A3758" t="str">
        <f>"510000110"</f>
        <v>510000110</v>
      </c>
      <c r="B3758" t="str">
        <f>"EHPAD 'FONDATION DUCHATEL'"</f>
        <v>EHPAD 'FONDATION DUCHATEL'</v>
      </c>
      <c r="C3758" t="s">
        <v>62</v>
      </c>
    </row>
    <row r="3759" spans="1:3" x14ac:dyDescent="0.25">
      <c r="A3759" t="str">
        <f>"510000748"</f>
        <v>510000748</v>
      </c>
      <c r="B3759" t="str">
        <f>"RESIDENCE LES JARDINS MEDICIS"</f>
        <v>RESIDENCE LES JARDINS MEDICIS</v>
      </c>
      <c r="C3759" t="s">
        <v>62</v>
      </c>
    </row>
    <row r="3760" spans="1:3" x14ac:dyDescent="0.25">
      <c r="A3760" t="str">
        <f>"510002090"</f>
        <v>510002090</v>
      </c>
      <c r="B3760" t="str">
        <f>"RESIDENCE AUGE-COLIN"</f>
        <v>RESIDENCE AUGE-COLIN</v>
      </c>
      <c r="C3760" t="s">
        <v>62</v>
      </c>
    </row>
    <row r="3761" spans="1:3" x14ac:dyDescent="0.25">
      <c r="A3761" t="str">
        <f>"510002116"</f>
        <v>510002116</v>
      </c>
      <c r="B3761" t="str">
        <f>"EHPAD 'LA CLÉ DES CHAMPS'"</f>
        <v>EHPAD 'LA CLÉ DES CHAMPS'</v>
      </c>
      <c r="C3761" t="s">
        <v>62</v>
      </c>
    </row>
    <row r="3762" spans="1:3" x14ac:dyDescent="0.25">
      <c r="A3762" t="str">
        <f>"510002124"</f>
        <v>510002124</v>
      </c>
      <c r="B3762" t="str">
        <f>"EHPAD DE THIEBLEMONT"</f>
        <v>EHPAD DE THIEBLEMONT</v>
      </c>
      <c r="C3762" t="s">
        <v>62</v>
      </c>
    </row>
    <row r="3763" spans="1:3" x14ac:dyDescent="0.25">
      <c r="A3763" t="str">
        <f>"510002132"</f>
        <v>510002132</v>
      </c>
      <c r="B3763" t="str">
        <f>"EHPAD RÉSIDENCE DU PARC"</f>
        <v>EHPAD RÉSIDENCE DU PARC</v>
      </c>
      <c r="C3763" t="s">
        <v>62</v>
      </c>
    </row>
    <row r="3764" spans="1:3" x14ac:dyDescent="0.25">
      <c r="A3764" t="str">
        <f>"510003536"</f>
        <v>510003536</v>
      </c>
      <c r="B3764" t="str">
        <f>"MAISON DE RETRAITE LE VILLAGE"</f>
        <v>MAISON DE RETRAITE LE VILLAGE</v>
      </c>
      <c r="C3764" t="s">
        <v>62</v>
      </c>
    </row>
    <row r="3765" spans="1:3" x14ac:dyDescent="0.25">
      <c r="A3765" t="str">
        <f>"510003668"</f>
        <v>510003668</v>
      </c>
      <c r="B3765" t="str">
        <f>"EHPAD ' JEAN D'ORBAIS'"</f>
        <v>EHPAD ' JEAN D'ORBAIS'</v>
      </c>
      <c r="C3765" t="s">
        <v>62</v>
      </c>
    </row>
    <row r="3766" spans="1:3" x14ac:dyDescent="0.25">
      <c r="A3766" t="str">
        <f>"510003783"</f>
        <v>510003783</v>
      </c>
      <c r="B3766" t="str">
        <f>"EHPAD SARRAIL"</f>
        <v>EHPAD SARRAIL</v>
      </c>
      <c r="C3766" t="s">
        <v>62</v>
      </c>
    </row>
    <row r="3767" spans="1:3" x14ac:dyDescent="0.25">
      <c r="A3767" t="str">
        <f>"510003817"</f>
        <v>510003817</v>
      </c>
      <c r="B3767" t="str">
        <f>"RESIDENCE MONSEIGNEUR BARDONNE"</f>
        <v>RESIDENCE MONSEIGNEUR BARDONNE</v>
      </c>
      <c r="C3767" t="s">
        <v>62</v>
      </c>
    </row>
    <row r="3768" spans="1:3" x14ac:dyDescent="0.25">
      <c r="A3768" t="str">
        <f>"510003866"</f>
        <v>510003866</v>
      </c>
      <c r="B3768" t="str">
        <f>"EHPAD 'FOYER FRANCOISE DE SALES AVIAT'"</f>
        <v>EHPAD 'FOYER FRANCOISE DE SALES AVIAT'</v>
      </c>
      <c r="C3768" t="s">
        <v>62</v>
      </c>
    </row>
    <row r="3769" spans="1:3" x14ac:dyDescent="0.25">
      <c r="A3769" t="str">
        <f>"510004278"</f>
        <v>510004278</v>
      </c>
      <c r="B3769" t="str">
        <f>"RESIDENCE ROUX CHU REIMS"</f>
        <v>RESIDENCE ROUX CHU REIMS</v>
      </c>
      <c r="C3769" t="s">
        <v>62</v>
      </c>
    </row>
    <row r="3770" spans="1:3" x14ac:dyDescent="0.25">
      <c r="A3770" t="str">
        <f>"510004286"</f>
        <v>510004286</v>
      </c>
      <c r="B3770" t="str">
        <f>"RESIDENCE WILSON CHU REIMS"</f>
        <v>RESIDENCE WILSON CHU REIMS</v>
      </c>
      <c r="C3770" t="s">
        <v>62</v>
      </c>
    </row>
    <row r="3771" spans="1:3" x14ac:dyDescent="0.25">
      <c r="A3771" t="str">
        <f>"510004294"</f>
        <v>510004294</v>
      </c>
      <c r="B3771" t="str">
        <f>"FONDAT  ROEDERER BOISSEAU CHU DE REIMS"</f>
        <v>FONDAT  ROEDERER BOISSEAU CHU DE REIMS</v>
      </c>
      <c r="C3771" t="s">
        <v>62</v>
      </c>
    </row>
    <row r="3772" spans="1:3" x14ac:dyDescent="0.25">
      <c r="A3772" t="str">
        <f>"510004344"</f>
        <v>510004344</v>
      </c>
      <c r="B3772" t="str">
        <f>"EHPAD 'MAISON SAINT JOSEPH'"</f>
        <v>EHPAD 'MAISON SAINT JOSEPH'</v>
      </c>
      <c r="C3772" t="s">
        <v>62</v>
      </c>
    </row>
    <row r="3773" spans="1:3" x14ac:dyDescent="0.25">
      <c r="A3773" t="str">
        <f>"510004369"</f>
        <v>510004369</v>
      </c>
      <c r="B3773" t="str">
        <f>"EHPAD LE SOURIRE CHAMPENOIS"</f>
        <v>EHPAD LE SOURIRE CHAMPENOIS</v>
      </c>
      <c r="C3773" t="s">
        <v>62</v>
      </c>
    </row>
    <row r="3774" spans="1:3" x14ac:dyDescent="0.25">
      <c r="A3774" t="str">
        <f>"510004377"</f>
        <v>510004377</v>
      </c>
      <c r="B3774" t="str">
        <f>"EHPAD 'RESIDENCE SAINT MARTIN'"</f>
        <v>EHPAD 'RESIDENCE SAINT MARTIN'</v>
      </c>
      <c r="C3774" t="s">
        <v>62</v>
      </c>
    </row>
    <row r="3775" spans="1:3" x14ac:dyDescent="0.25">
      <c r="A3775" t="str">
        <f>"510006018"</f>
        <v>510006018</v>
      </c>
      <c r="B3775" t="str">
        <f>"RESID. ' ORPEA LA MONTAGNE DE REIMS'"</f>
        <v>RESID. ' ORPEA LA MONTAGNE DE REIMS'</v>
      </c>
      <c r="C3775" t="s">
        <v>62</v>
      </c>
    </row>
    <row r="3776" spans="1:3" x14ac:dyDescent="0.25">
      <c r="A3776" t="str">
        <f>"510006661"</f>
        <v>510006661</v>
      </c>
      <c r="B3776" t="str">
        <f>"MAISON DE RETRAITE - CH D'EPERNAY"</f>
        <v>MAISON DE RETRAITE - CH D'EPERNAY</v>
      </c>
      <c r="C3776" t="s">
        <v>62</v>
      </c>
    </row>
    <row r="3777" spans="1:3" x14ac:dyDescent="0.25">
      <c r="A3777" t="str">
        <f>"510008774"</f>
        <v>510008774</v>
      </c>
      <c r="B3777" t="str">
        <f>"RESIDENCE LES CLOS DE SAINT MARTIN"</f>
        <v>RESIDENCE LES CLOS DE SAINT MARTIN</v>
      </c>
      <c r="C3777" t="s">
        <v>62</v>
      </c>
    </row>
    <row r="3778" spans="1:3" x14ac:dyDescent="0.25">
      <c r="A3778" t="str">
        <f>"510008808"</f>
        <v>510008808</v>
      </c>
      <c r="B3778" t="str">
        <f>"RÉSIDENCE PAUL GÉRARD"</f>
        <v>RÉSIDENCE PAUL GÉRARD</v>
      </c>
      <c r="C3778" t="s">
        <v>62</v>
      </c>
    </row>
    <row r="3779" spans="1:3" x14ac:dyDescent="0.25">
      <c r="A3779" t="str">
        <f>"510010127"</f>
        <v>510010127</v>
      </c>
      <c r="B3779" t="str">
        <f>"EHPAD DE FISMES"</f>
        <v>EHPAD DE FISMES</v>
      </c>
      <c r="C3779" t="s">
        <v>62</v>
      </c>
    </row>
    <row r="3780" spans="1:3" x14ac:dyDescent="0.25">
      <c r="A3780" t="str">
        <f>"510010135"</f>
        <v>510010135</v>
      </c>
      <c r="B3780" t="str">
        <f>"MAISON DE RETRAITE CH D'ARGONNE"</f>
        <v>MAISON DE RETRAITE CH D'ARGONNE</v>
      </c>
      <c r="C3780" t="s">
        <v>62</v>
      </c>
    </row>
    <row r="3781" spans="1:3" x14ac:dyDescent="0.25">
      <c r="A3781" t="str">
        <f>"510010226"</f>
        <v>510010226</v>
      </c>
      <c r="B3781" t="str">
        <f>"EHPAD ARC EN CIEL JEAN JUIF - CH VITRY"</f>
        <v>EHPAD ARC EN CIEL JEAN JUIF - CH VITRY</v>
      </c>
      <c r="C3781" t="s">
        <v>62</v>
      </c>
    </row>
    <row r="3782" spans="1:3" x14ac:dyDescent="0.25">
      <c r="A3782" t="str">
        <f>"510010317"</f>
        <v>510010317</v>
      </c>
      <c r="B3782" t="str">
        <f>"CH - MAISON DE RETRAITE DE MONTMIRAIL"</f>
        <v>CH - MAISON DE RETRAITE DE MONTMIRAIL</v>
      </c>
      <c r="C3782" t="s">
        <v>62</v>
      </c>
    </row>
    <row r="3783" spans="1:3" x14ac:dyDescent="0.25">
      <c r="A3783" t="str">
        <f>"510010630"</f>
        <v>510010630</v>
      </c>
      <c r="B3783" t="str">
        <f>"EHPAD DE SEZANNE - GHAM"</f>
        <v>EHPAD DE SEZANNE - GHAM</v>
      </c>
      <c r="C3783" t="s">
        <v>62</v>
      </c>
    </row>
    <row r="3784" spans="1:3" x14ac:dyDescent="0.25">
      <c r="A3784" t="str">
        <f>"510011208"</f>
        <v>510011208</v>
      </c>
      <c r="B3784" t="str">
        <f>"RESIDEN MARGUERITE ROUSSELET CHU REIMS"</f>
        <v>RESIDEN MARGUERITE ROUSSELET CHU REIMS</v>
      </c>
      <c r="C3784" t="s">
        <v>62</v>
      </c>
    </row>
    <row r="3785" spans="1:3" x14ac:dyDescent="0.25">
      <c r="A3785" t="str">
        <f>"510011596"</f>
        <v>510011596</v>
      </c>
      <c r="B3785" t="str">
        <f>"EHPAD 'FOYER DE L'ARDRE'"</f>
        <v>EHPAD 'FOYER DE L'ARDRE'</v>
      </c>
      <c r="C3785" t="s">
        <v>62</v>
      </c>
    </row>
    <row r="3786" spans="1:3" x14ac:dyDescent="0.25">
      <c r="A3786" t="str">
        <f>"510011893"</f>
        <v>510011893</v>
      </c>
      <c r="B3786" t="str">
        <f>"RESIDENCE PIERRE SIMON"</f>
        <v>RESIDENCE PIERRE SIMON</v>
      </c>
      <c r="C3786" t="s">
        <v>62</v>
      </c>
    </row>
    <row r="3787" spans="1:3" x14ac:dyDescent="0.25">
      <c r="A3787" t="str">
        <f>"510011935"</f>
        <v>510011935</v>
      </c>
      <c r="B3787" t="str">
        <f>"EHPAD SARMATIA"</f>
        <v>EHPAD SARMATIA</v>
      </c>
      <c r="C3787" t="s">
        <v>62</v>
      </c>
    </row>
    <row r="3788" spans="1:3" x14ac:dyDescent="0.25">
      <c r="A3788" t="str">
        <f>"510011976"</f>
        <v>510011976</v>
      </c>
      <c r="B3788" t="str">
        <f>"EHPAD LE GRAND JARDIN"</f>
        <v>EHPAD LE GRAND JARDIN</v>
      </c>
      <c r="C3788" t="s">
        <v>62</v>
      </c>
    </row>
    <row r="3789" spans="1:3" x14ac:dyDescent="0.25">
      <c r="A3789" t="str">
        <f>"510011984"</f>
        <v>510011984</v>
      </c>
      <c r="B3789" t="str">
        <f>"EHPAD 'KORIAN PLACE ROYALE'"</f>
        <v>EHPAD 'KORIAN PLACE ROYALE'</v>
      </c>
      <c r="C3789" t="s">
        <v>62</v>
      </c>
    </row>
    <row r="3790" spans="1:3" x14ac:dyDescent="0.25">
      <c r="A3790" t="str">
        <f>"510012008"</f>
        <v>510012008</v>
      </c>
      <c r="B3790" t="str">
        <f>"MAIS D'ACCUEIL  DU CHATEAU D'AY"</f>
        <v>MAIS D'ACCUEIL  DU CHATEAU D'AY</v>
      </c>
      <c r="C3790" t="s">
        <v>62</v>
      </c>
    </row>
    <row r="3791" spans="1:3" x14ac:dyDescent="0.25">
      <c r="A3791" t="str">
        <f>"510012024"</f>
        <v>510012024</v>
      </c>
      <c r="B3791" t="str">
        <f>"MAIS RETRAITE 'TIERS TEMPS' REIMS"</f>
        <v>MAIS RETRAITE 'TIERS TEMPS' REIMS</v>
      </c>
      <c r="C3791" t="s">
        <v>62</v>
      </c>
    </row>
    <row r="3792" spans="1:3" x14ac:dyDescent="0.25">
      <c r="A3792" t="str">
        <f>"510012065"</f>
        <v>510012065</v>
      </c>
      <c r="B3792" t="str">
        <f>"KORIAN LES CATALAUNES"</f>
        <v>KORIAN LES CATALAUNES</v>
      </c>
      <c r="C3792" t="s">
        <v>62</v>
      </c>
    </row>
    <row r="3793" spans="1:3" x14ac:dyDescent="0.25">
      <c r="A3793" t="str">
        <f>"510012073"</f>
        <v>510012073</v>
      </c>
      <c r="B3793" t="str">
        <f>"EHPAD 'DOMREMY'"</f>
        <v>EHPAD 'DOMREMY'</v>
      </c>
      <c r="C3793" t="s">
        <v>62</v>
      </c>
    </row>
    <row r="3794" spans="1:3" x14ac:dyDescent="0.25">
      <c r="A3794" t="str">
        <f>"510012099"</f>
        <v>510012099</v>
      </c>
      <c r="B3794" t="str">
        <f>"KORIAN VILLA LES REMES"</f>
        <v>KORIAN VILLA LES REMES</v>
      </c>
      <c r="C3794" t="s">
        <v>62</v>
      </c>
    </row>
    <row r="3795" spans="1:3" x14ac:dyDescent="0.25">
      <c r="A3795" t="str">
        <f>"510012156"</f>
        <v>510012156</v>
      </c>
      <c r="B3795" t="str">
        <f>"RESIDENCE LES 3 ROSES"</f>
        <v>RESIDENCE LES 3 ROSES</v>
      </c>
      <c r="C3795" t="s">
        <v>62</v>
      </c>
    </row>
    <row r="3796" spans="1:3" x14ac:dyDescent="0.25">
      <c r="A3796" t="str">
        <f>"510012172"</f>
        <v>510012172</v>
      </c>
      <c r="B3796" t="str">
        <f>"RESIDENCE LES JARDINS D'ATHIS"</f>
        <v>RESIDENCE LES JARDINS D'ATHIS</v>
      </c>
      <c r="C3796" t="s">
        <v>62</v>
      </c>
    </row>
    <row r="3797" spans="1:3" x14ac:dyDescent="0.25">
      <c r="A3797" t="str">
        <f>"510012230"</f>
        <v>510012230</v>
      </c>
      <c r="B3797" t="str">
        <f>"EHPAD 'RESIDENCE DU BORD DE VESLE'"</f>
        <v>EHPAD 'RESIDENCE DU BORD DE VESLE'</v>
      </c>
      <c r="C3797" t="s">
        <v>62</v>
      </c>
    </row>
    <row r="3798" spans="1:3" x14ac:dyDescent="0.25">
      <c r="A3798" t="str">
        <f>"510012446"</f>
        <v>510012446</v>
      </c>
      <c r="B3798" t="str">
        <f>"RESIDENCE NICOLAS ROLAND"</f>
        <v>RESIDENCE NICOLAS ROLAND</v>
      </c>
      <c r="C3798" t="s">
        <v>62</v>
      </c>
    </row>
    <row r="3799" spans="1:3" x14ac:dyDescent="0.25">
      <c r="A3799" t="str">
        <f>"510012958"</f>
        <v>510012958</v>
      </c>
      <c r="B3799" t="str">
        <f>"RES 'ORPEA ST ANDRE' - REIMS"</f>
        <v>RES 'ORPEA ST ANDRE' - REIMS</v>
      </c>
      <c r="C3799" t="s">
        <v>62</v>
      </c>
    </row>
    <row r="3800" spans="1:3" x14ac:dyDescent="0.25">
      <c r="A3800" t="str">
        <f>"510018278"</f>
        <v>510018278</v>
      </c>
      <c r="B3800" t="str">
        <f>"EHPAD 'VILLA BEAUSOLEIL'"</f>
        <v>EHPAD 'VILLA BEAUSOLEIL'</v>
      </c>
      <c r="C3800" t="s">
        <v>62</v>
      </c>
    </row>
    <row r="3801" spans="1:3" x14ac:dyDescent="0.25">
      <c r="A3801" t="str">
        <f>"510019789"</f>
        <v>510019789</v>
      </c>
      <c r="B3801" t="str">
        <f>"EHPAD 'LES PARENTELES DE REIMS'"</f>
        <v>EHPAD 'LES PARENTELES DE REIMS'</v>
      </c>
      <c r="C3801" t="s">
        <v>62</v>
      </c>
    </row>
    <row r="3802" spans="1:3" x14ac:dyDescent="0.25">
      <c r="A3802" t="str">
        <f>"510024003"</f>
        <v>510024003</v>
      </c>
      <c r="B3802" t="str">
        <f>"EHPAD 'RÉSIDENCE LES VIGNES'"</f>
        <v>EHPAD 'RÉSIDENCE LES VIGNES'</v>
      </c>
      <c r="C3802" t="s">
        <v>62</v>
      </c>
    </row>
    <row r="3803" spans="1:3" x14ac:dyDescent="0.25">
      <c r="A3803" t="str">
        <f>"510025570"</f>
        <v>510025570</v>
      </c>
      <c r="B3803" t="str">
        <f>"EHPAD DE DORMANS"</f>
        <v>EHPAD DE DORMANS</v>
      </c>
      <c r="C3803" t="s">
        <v>62</v>
      </c>
    </row>
    <row r="3804" spans="1:3" x14ac:dyDescent="0.25">
      <c r="A3804" t="str">
        <f>"520001868"</f>
        <v>520001868</v>
      </c>
      <c r="B3804" t="str">
        <f>"EHPAD CHHM"</f>
        <v>EHPAD CHHM</v>
      </c>
      <c r="C3804" t="s">
        <v>62</v>
      </c>
    </row>
    <row r="3805" spans="1:3" x14ac:dyDescent="0.25">
      <c r="A3805" t="str">
        <f>"520003286"</f>
        <v>520003286</v>
      </c>
      <c r="B3805" t="str">
        <f>"LA MAISON DE L'ORME DORE"</f>
        <v>LA MAISON DE L'ORME DORE</v>
      </c>
      <c r="C3805" t="s">
        <v>62</v>
      </c>
    </row>
    <row r="3806" spans="1:3" x14ac:dyDescent="0.25">
      <c r="A3806" t="str">
        <f>"520003336"</f>
        <v>520003336</v>
      </c>
      <c r="B3806" t="str">
        <f>"ACCUEIL DE JOUR L'ECOLE BUISSONIERE"</f>
        <v>ACCUEIL DE JOUR L'ECOLE BUISSONIERE</v>
      </c>
      <c r="C3806" t="s">
        <v>62</v>
      </c>
    </row>
    <row r="3807" spans="1:3" x14ac:dyDescent="0.25">
      <c r="A3807" t="str">
        <f>"520003443"</f>
        <v>520003443</v>
      </c>
      <c r="B3807" t="str">
        <f>"LA MAISON DE L'OSIER POURPRE"</f>
        <v>LA MAISON DE L'OSIER POURPRE</v>
      </c>
      <c r="C3807" t="s">
        <v>62</v>
      </c>
    </row>
    <row r="3808" spans="1:3" x14ac:dyDescent="0.25">
      <c r="A3808" t="str">
        <f>"520004565"</f>
        <v>520004565</v>
      </c>
      <c r="B3808" t="str">
        <f>"EHPAD LA COTE DES CHARMES"</f>
        <v>EHPAD LA COTE DES CHARMES</v>
      </c>
      <c r="C3808" t="s">
        <v>62</v>
      </c>
    </row>
    <row r="3809" spans="1:3" x14ac:dyDescent="0.25">
      <c r="A3809" t="str">
        <f>"520004987"</f>
        <v>520004987</v>
      </c>
      <c r="B3809" t="str">
        <f>"AJ DE L'EHPAD D'ARC EN BARROIS"</f>
        <v>AJ DE L'EHPAD D'ARC EN BARROIS</v>
      </c>
      <c r="C3809" t="s">
        <v>62</v>
      </c>
    </row>
    <row r="3810" spans="1:3" x14ac:dyDescent="0.25">
      <c r="A3810" t="str">
        <f>"520780396"</f>
        <v>520780396</v>
      </c>
      <c r="B3810" t="str">
        <f>"EHPAD FELIX GRELOT"</f>
        <v>EHPAD FELIX GRELOT</v>
      </c>
      <c r="C3810" t="s">
        <v>62</v>
      </c>
    </row>
    <row r="3811" spans="1:3" x14ac:dyDescent="0.25">
      <c r="A3811" t="str">
        <f>"520780412"</f>
        <v>520780412</v>
      </c>
      <c r="B3811" t="str">
        <f>"EHPAD D' ARC EN BARROIS"</f>
        <v>EHPAD D' ARC EN BARROIS</v>
      </c>
      <c r="C3811" t="s">
        <v>62</v>
      </c>
    </row>
    <row r="3812" spans="1:3" x14ac:dyDescent="0.25">
      <c r="A3812" t="str">
        <f>"520780420"</f>
        <v>520780420</v>
      </c>
      <c r="B3812" t="str">
        <f>"EHPAD LE MAIL"</f>
        <v>EHPAD LE MAIL</v>
      </c>
      <c r="C3812" t="s">
        <v>62</v>
      </c>
    </row>
    <row r="3813" spans="1:3" x14ac:dyDescent="0.25">
      <c r="A3813" t="str">
        <f>"520780438"</f>
        <v>520780438</v>
      </c>
      <c r="B3813" t="str">
        <f>"EHPAD POUGNY"</f>
        <v>EHPAD POUGNY</v>
      </c>
      <c r="C3813" t="s">
        <v>62</v>
      </c>
    </row>
    <row r="3814" spans="1:3" x14ac:dyDescent="0.25">
      <c r="A3814" t="str">
        <f>"520780446"</f>
        <v>520780446</v>
      </c>
      <c r="B3814" t="str">
        <f>"EHPAD AU BRIN D'OSIER"</f>
        <v>EHPAD AU BRIN D'OSIER</v>
      </c>
      <c r="C3814" t="s">
        <v>62</v>
      </c>
    </row>
    <row r="3815" spans="1:3" x14ac:dyDescent="0.25">
      <c r="A3815" t="str">
        <f>"520780453"</f>
        <v>520780453</v>
      </c>
      <c r="B3815" t="str">
        <f>"EHPAD LEGAY COLIN"</f>
        <v>EHPAD LEGAY COLIN</v>
      </c>
      <c r="C3815" t="s">
        <v>62</v>
      </c>
    </row>
    <row r="3816" spans="1:3" x14ac:dyDescent="0.25">
      <c r="A3816" t="str">
        <f>"520780461"</f>
        <v>520780461</v>
      </c>
      <c r="B3816" t="str">
        <f>"EHPAD GERARD DE HAULT"</f>
        <v>EHPAD GERARD DE HAULT</v>
      </c>
      <c r="C3816" t="s">
        <v>62</v>
      </c>
    </row>
    <row r="3817" spans="1:3" x14ac:dyDescent="0.25">
      <c r="A3817" t="str">
        <f>"520781527"</f>
        <v>520781527</v>
      </c>
      <c r="B3817" t="str">
        <f>"EHPAD LE CHÊNE - CH DE SAINT DIZIER"</f>
        <v>EHPAD LE CHÊNE - CH DE SAINT DIZIER</v>
      </c>
      <c r="C3817" t="s">
        <v>62</v>
      </c>
    </row>
    <row r="3818" spans="1:3" x14ac:dyDescent="0.25">
      <c r="A3818" t="str">
        <f>"520781535"</f>
        <v>520781535</v>
      </c>
      <c r="B3818" t="str">
        <f>"EHPAD HOPITAL ST CHARLES WASSY"</f>
        <v>EHPAD HOPITAL ST CHARLES WASSY</v>
      </c>
      <c r="C3818" t="s">
        <v>62</v>
      </c>
    </row>
    <row r="3819" spans="1:3" x14ac:dyDescent="0.25">
      <c r="A3819" t="str">
        <f>"520781543"</f>
        <v>520781543</v>
      </c>
      <c r="B3819" t="str">
        <f>"EHPAD - HL JOINVILLE"</f>
        <v>EHPAD - HL JOINVILLE</v>
      </c>
      <c r="C3819" t="s">
        <v>62</v>
      </c>
    </row>
    <row r="3820" spans="1:3" x14ac:dyDescent="0.25">
      <c r="A3820" t="str">
        <f>"520781584"</f>
        <v>520781584</v>
      </c>
      <c r="B3820" t="str">
        <f>"EHPAD JEAN-FRANÇOIS BONNET CH CHAUMONT"</f>
        <v>EHPAD JEAN-FRANÇOIS BONNET CH CHAUMONT</v>
      </c>
      <c r="C3820" t="s">
        <v>62</v>
      </c>
    </row>
    <row r="3821" spans="1:3" x14ac:dyDescent="0.25">
      <c r="A3821" t="str">
        <f>"520781592"</f>
        <v>520781592</v>
      </c>
      <c r="B3821" t="str">
        <f>"EHPAD DU CH DE BOURBONNE LES BAINS"</f>
        <v>EHPAD DU CH DE BOURBONNE LES BAINS</v>
      </c>
      <c r="C3821" t="s">
        <v>62</v>
      </c>
    </row>
    <row r="3822" spans="1:3" x14ac:dyDescent="0.25">
      <c r="A3822" t="str">
        <f>"520781733"</f>
        <v>520781733</v>
      </c>
      <c r="B3822" t="str">
        <f>"EHPAD SAINT AUGUSTIN"</f>
        <v>EHPAD SAINT AUGUSTIN</v>
      </c>
      <c r="C3822" t="s">
        <v>62</v>
      </c>
    </row>
    <row r="3823" spans="1:3" x14ac:dyDescent="0.25">
      <c r="A3823" t="str">
        <f>"520781766"</f>
        <v>520781766</v>
      </c>
      <c r="B3823" t="str">
        <f>"EHPAD LE LIEN NOGENT"</f>
        <v>EHPAD LE LIEN NOGENT</v>
      </c>
      <c r="C3823" t="s">
        <v>62</v>
      </c>
    </row>
    <row r="3824" spans="1:3" x14ac:dyDescent="0.25">
      <c r="A3824" t="str">
        <f>"520782178"</f>
        <v>520782178</v>
      </c>
      <c r="B3824" t="str">
        <f>"EHPAD RES DES AINES CH MONTIER-EN-DER"</f>
        <v>EHPAD RES DES AINES CH MONTIER-EN-DER</v>
      </c>
      <c r="C3824" t="s">
        <v>62</v>
      </c>
    </row>
    <row r="3825" spans="1:3" x14ac:dyDescent="0.25">
      <c r="A3825" t="str">
        <f>"520782202"</f>
        <v>520782202</v>
      </c>
      <c r="B3825" t="str">
        <f>"ACCUEIL DE JOUR PA CH DE LANGRES"</f>
        <v>ACCUEIL DE JOUR PA CH DE LANGRES</v>
      </c>
      <c r="C3825" t="s">
        <v>62</v>
      </c>
    </row>
    <row r="3826" spans="1:3" x14ac:dyDescent="0.25">
      <c r="A3826" t="str">
        <f>"520783150"</f>
        <v>520783150</v>
      </c>
      <c r="B3826" t="str">
        <f>"EHPAD DE BOURMONT"</f>
        <v>EHPAD DE BOURMONT</v>
      </c>
      <c r="C3826" t="s">
        <v>62</v>
      </c>
    </row>
    <row r="3827" spans="1:3" x14ac:dyDescent="0.25">
      <c r="A3827" t="str">
        <f>"520783432"</f>
        <v>520783432</v>
      </c>
      <c r="B3827" t="str">
        <f>"EHPAD LA PROVIDENCE DE MONTIGNY LE ROI"</f>
        <v>EHPAD LA PROVIDENCE DE MONTIGNY LE ROI</v>
      </c>
      <c r="C3827" t="s">
        <v>62</v>
      </c>
    </row>
    <row r="3828" spans="1:3" x14ac:dyDescent="0.25">
      <c r="A3828" t="str">
        <f>"520783622"</f>
        <v>520783622</v>
      </c>
      <c r="B3828" t="str">
        <f>"EHPAD LA TRINCASSAYE"</f>
        <v>EHPAD LA TRINCASSAYE</v>
      </c>
      <c r="C3828" t="s">
        <v>62</v>
      </c>
    </row>
    <row r="3829" spans="1:3" x14ac:dyDescent="0.25">
      <c r="A3829" t="str">
        <f>"520784521"</f>
        <v>520784521</v>
      </c>
      <c r="B3829" t="str">
        <f>"EHPAD MARIE POCARD DE MARANVILLE"</f>
        <v>EHPAD MARIE POCARD DE MARANVILLE</v>
      </c>
      <c r="C3829" t="s">
        <v>62</v>
      </c>
    </row>
    <row r="3830" spans="1:3" x14ac:dyDescent="0.25">
      <c r="A3830" t="str">
        <f>"530000397"</f>
        <v>530000397</v>
      </c>
      <c r="B3830" t="str">
        <f>"EHPAD LA PROVIDENCE"</f>
        <v>EHPAD LA PROVIDENCE</v>
      </c>
      <c r="C3830" t="s">
        <v>78</v>
      </c>
    </row>
    <row r="3831" spans="1:3" x14ac:dyDescent="0.25">
      <c r="A3831" t="str">
        <f>"530002013"</f>
        <v>530002013</v>
      </c>
      <c r="B3831" t="str">
        <f>"EHPAD SAINT JOSEPH"</f>
        <v>EHPAD SAINT JOSEPH</v>
      </c>
      <c r="C3831" t="s">
        <v>78</v>
      </c>
    </row>
    <row r="3832" spans="1:3" x14ac:dyDescent="0.25">
      <c r="A3832" t="str">
        <f>"530002211"</f>
        <v>530002211</v>
      </c>
      <c r="B3832" t="str">
        <f>"EHPAD DES AVALOIRS"</f>
        <v>EHPAD DES AVALOIRS</v>
      </c>
      <c r="C3832" t="s">
        <v>78</v>
      </c>
    </row>
    <row r="3833" spans="1:3" x14ac:dyDescent="0.25">
      <c r="A3833" t="str">
        <f>"530002229"</f>
        <v>530002229</v>
      </c>
      <c r="B3833" t="str">
        <f>"EHPAD PIERRE GUICHENEY"</f>
        <v>EHPAD PIERRE GUICHENEY</v>
      </c>
      <c r="C3833" t="s">
        <v>78</v>
      </c>
    </row>
    <row r="3834" spans="1:3" x14ac:dyDescent="0.25">
      <c r="A3834" t="str">
        <f>"530002260"</f>
        <v>530002260</v>
      </c>
      <c r="B3834" t="str">
        <f>"EHPAD MARIN BOUILLE"</f>
        <v>EHPAD MARIN BOUILLE</v>
      </c>
      <c r="C3834" t="s">
        <v>78</v>
      </c>
    </row>
    <row r="3835" spans="1:3" x14ac:dyDescent="0.25">
      <c r="A3835" t="str">
        <f>"530002278"</f>
        <v>530002278</v>
      </c>
      <c r="B3835" t="str">
        <f>"EHPAD LA VARENNE"</f>
        <v>EHPAD LA VARENNE</v>
      </c>
      <c r="C3835" t="s">
        <v>78</v>
      </c>
    </row>
    <row r="3836" spans="1:3" x14ac:dyDescent="0.25">
      <c r="A3836" t="str">
        <f>"530002286"</f>
        <v>530002286</v>
      </c>
      <c r="B3836" t="str">
        <f>"EHPAD LES ORMEAUX"</f>
        <v>EHPAD LES ORMEAUX</v>
      </c>
      <c r="C3836" t="s">
        <v>78</v>
      </c>
    </row>
    <row r="3837" spans="1:3" x14ac:dyDescent="0.25">
      <c r="A3837" t="str">
        <f>"530002294"</f>
        <v>530002294</v>
      </c>
      <c r="B3837" t="str">
        <f>"EHPAD LE ROCHARD"</f>
        <v>EHPAD LE ROCHARD</v>
      </c>
      <c r="C3837" t="s">
        <v>78</v>
      </c>
    </row>
    <row r="3838" spans="1:3" x14ac:dyDescent="0.25">
      <c r="A3838" t="str">
        <f>"530002302"</f>
        <v>530002302</v>
      </c>
      <c r="B3838" t="str">
        <f>"EHPAD LA CLOSERAIE"</f>
        <v>EHPAD LA CLOSERAIE</v>
      </c>
      <c r="C3838" t="s">
        <v>78</v>
      </c>
    </row>
    <row r="3839" spans="1:3" x14ac:dyDescent="0.25">
      <c r="A3839" t="str">
        <f>"530002310"</f>
        <v>530002310</v>
      </c>
      <c r="B3839" t="str">
        <f>"EHPAD LA CHARMILLE"</f>
        <v>EHPAD LA CHARMILLE</v>
      </c>
      <c r="C3839" t="s">
        <v>78</v>
      </c>
    </row>
    <row r="3840" spans="1:3" x14ac:dyDescent="0.25">
      <c r="A3840" t="str">
        <f>"530002328"</f>
        <v>530002328</v>
      </c>
      <c r="B3840" t="str">
        <f>"EHPAD LE VOLLIER"</f>
        <v>EHPAD LE VOLLIER</v>
      </c>
      <c r="C3840" t="s">
        <v>78</v>
      </c>
    </row>
    <row r="3841" spans="1:3" x14ac:dyDescent="0.25">
      <c r="A3841" t="str">
        <f>"530002336"</f>
        <v>530002336</v>
      </c>
      <c r="B3841" t="str">
        <f>"EHPAD AMBROISE PARE"</f>
        <v>EHPAD AMBROISE PARE</v>
      </c>
      <c r="C3841" t="s">
        <v>78</v>
      </c>
    </row>
    <row r="3842" spans="1:3" x14ac:dyDescent="0.25">
      <c r="A3842" t="str">
        <f>"530002344"</f>
        <v>530002344</v>
      </c>
      <c r="B3842" t="str">
        <f>"EHPAD LE BEL ACCUEIL"</f>
        <v>EHPAD LE BEL ACCUEIL</v>
      </c>
      <c r="C3842" t="s">
        <v>78</v>
      </c>
    </row>
    <row r="3843" spans="1:3" x14ac:dyDescent="0.25">
      <c r="A3843" t="str">
        <f>"530002351"</f>
        <v>530002351</v>
      </c>
      <c r="B3843" t="str">
        <f>"EHPAD SAINT LAURENT"</f>
        <v>EHPAD SAINT LAURENT</v>
      </c>
      <c r="C3843" t="s">
        <v>78</v>
      </c>
    </row>
    <row r="3844" spans="1:3" x14ac:dyDescent="0.25">
      <c r="A3844" t="str">
        <f>"530002377"</f>
        <v>530002377</v>
      </c>
      <c r="B3844" t="str">
        <f>"EHPAD LA PERELLE"</f>
        <v>EHPAD LA PERELLE</v>
      </c>
      <c r="C3844" t="s">
        <v>78</v>
      </c>
    </row>
    <row r="3845" spans="1:3" x14ac:dyDescent="0.25">
      <c r="A3845" t="str">
        <f>"530002385"</f>
        <v>530002385</v>
      </c>
      <c r="B3845" t="str">
        <f>"EHPAD LES TILLEULS"</f>
        <v>EHPAD LES TILLEULS</v>
      </c>
      <c r="C3845" t="s">
        <v>78</v>
      </c>
    </row>
    <row r="3846" spans="1:3" x14ac:dyDescent="0.25">
      <c r="A3846" t="str">
        <f>"530002393"</f>
        <v>530002393</v>
      </c>
      <c r="B3846" t="str">
        <f>"EHPAD LA DOUCEUR DE VIVRE"</f>
        <v>EHPAD LA DOUCEUR DE VIVRE</v>
      </c>
      <c r="C3846" t="s">
        <v>78</v>
      </c>
    </row>
    <row r="3847" spans="1:3" x14ac:dyDescent="0.25">
      <c r="A3847" t="str">
        <f>"530002401"</f>
        <v>530002401</v>
      </c>
      <c r="B3847" t="str">
        <f>"EHPAD VICTOIRE BRIELLE"</f>
        <v>EHPAD VICTOIRE BRIELLE</v>
      </c>
      <c r="C3847" t="s">
        <v>78</v>
      </c>
    </row>
    <row r="3848" spans="1:3" x14ac:dyDescent="0.25">
      <c r="A3848" t="str">
        <f>"530002419"</f>
        <v>530002419</v>
      </c>
      <c r="B3848" t="str">
        <f>"EHPAD LES GLYCINES"</f>
        <v>EHPAD LES GLYCINES</v>
      </c>
      <c r="C3848" t="s">
        <v>78</v>
      </c>
    </row>
    <row r="3849" spans="1:3" x14ac:dyDescent="0.25">
      <c r="A3849" t="str">
        <f>"530002427"</f>
        <v>530002427</v>
      </c>
      <c r="B3849" t="str">
        <f>"EHPAD LA DOUCEUR DE VIVRE"</f>
        <v>EHPAD LA DOUCEUR DE VIVRE</v>
      </c>
      <c r="C3849" t="s">
        <v>78</v>
      </c>
    </row>
    <row r="3850" spans="1:3" x14ac:dyDescent="0.25">
      <c r="A3850" t="str">
        <f>"530002435"</f>
        <v>530002435</v>
      </c>
      <c r="B3850" t="str">
        <f>"EHPAD LA COLMONT"</f>
        <v>EHPAD LA COLMONT</v>
      </c>
      <c r="C3850" t="s">
        <v>78</v>
      </c>
    </row>
    <row r="3851" spans="1:3" x14ac:dyDescent="0.25">
      <c r="A3851" t="str">
        <f>"530002443"</f>
        <v>530002443</v>
      </c>
      <c r="B3851" t="str">
        <f>"EHPAD L'AVERSALE"</f>
        <v>EHPAD L'AVERSALE</v>
      </c>
      <c r="C3851" t="s">
        <v>78</v>
      </c>
    </row>
    <row r="3852" spans="1:3" x14ac:dyDescent="0.25">
      <c r="A3852" t="str">
        <f>"530002450"</f>
        <v>530002450</v>
      </c>
      <c r="B3852" t="str">
        <f>"EHPAD LETORT LA CHEVRONNAIS"</f>
        <v>EHPAD LETORT LA CHEVRONNAIS</v>
      </c>
      <c r="C3852" t="s">
        <v>78</v>
      </c>
    </row>
    <row r="3853" spans="1:3" x14ac:dyDescent="0.25">
      <c r="A3853" t="str">
        <f>"530002468"</f>
        <v>530002468</v>
      </c>
      <c r="B3853" t="str">
        <f>"EHPAD DR GEHERE LAMOTTE"</f>
        <v>EHPAD DR GEHERE LAMOTTE</v>
      </c>
      <c r="C3853" t="s">
        <v>78</v>
      </c>
    </row>
    <row r="3854" spans="1:3" x14ac:dyDescent="0.25">
      <c r="A3854" t="str">
        <f>"530002476"</f>
        <v>530002476</v>
      </c>
      <c r="B3854" t="str">
        <f>"EHPAD BELLEVUE"</f>
        <v>EHPAD BELLEVUE</v>
      </c>
      <c r="C3854" t="s">
        <v>78</v>
      </c>
    </row>
    <row r="3855" spans="1:3" x14ac:dyDescent="0.25">
      <c r="A3855" t="str">
        <f>"530002500"</f>
        <v>530002500</v>
      </c>
      <c r="B3855" t="str">
        <f>"EHPAD CASTERAN"</f>
        <v>EHPAD CASTERAN</v>
      </c>
      <c r="C3855" t="s">
        <v>78</v>
      </c>
    </row>
    <row r="3856" spans="1:3" x14ac:dyDescent="0.25">
      <c r="A3856" t="str">
        <f>"530002518"</f>
        <v>530002518</v>
      </c>
      <c r="B3856" t="str">
        <f>"EHPAD MARIE FANNEAU DE LA HORIE"</f>
        <v>EHPAD MARIE FANNEAU DE LA HORIE</v>
      </c>
      <c r="C3856" t="s">
        <v>78</v>
      </c>
    </row>
    <row r="3857" spans="1:3" x14ac:dyDescent="0.25">
      <c r="A3857" t="str">
        <f>"530002534"</f>
        <v>530002534</v>
      </c>
      <c r="B3857" t="str">
        <f>"EHPAD RESIDENCE DE L'ORIOLET"</f>
        <v>EHPAD RESIDENCE DE L'ORIOLET</v>
      </c>
      <c r="C3857" t="s">
        <v>78</v>
      </c>
    </row>
    <row r="3858" spans="1:3" x14ac:dyDescent="0.25">
      <c r="A3858" t="str">
        <f>"530002609"</f>
        <v>530002609</v>
      </c>
      <c r="B3858" t="str">
        <f>"EHPAD ST GEORGES DE LISLE"</f>
        <v>EHPAD ST GEORGES DE LISLE</v>
      </c>
      <c r="C3858" t="s">
        <v>78</v>
      </c>
    </row>
    <row r="3859" spans="1:3" x14ac:dyDescent="0.25">
      <c r="A3859" t="str">
        <f>"530003128"</f>
        <v>530003128</v>
      </c>
      <c r="B3859" t="str">
        <f>"EHPAD LES CHARMILLES"</f>
        <v>EHPAD LES CHARMILLES</v>
      </c>
      <c r="C3859" t="s">
        <v>78</v>
      </c>
    </row>
    <row r="3860" spans="1:3" x14ac:dyDescent="0.25">
      <c r="A3860" t="str">
        <f>"530003409"</f>
        <v>530003409</v>
      </c>
      <c r="B3860" t="str">
        <f>"EHPAD HESTIA"</f>
        <v>EHPAD HESTIA</v>
      </c>
      <c r="C3860" t="s">
        <v>78</v>
      </c>
    </row>
    <row r="3861" spans="1:3" x14ac:dyDescent="0.25">
      <c r="A3861" t="str">
        <f>"530005818"</f>
        <v>530005818</v>
      </c>
      <c r="B3861" t="str">
        <f>"EHPAD ND DE LA MISERICORDE"</f>
        <v>EHPAD ND DE LA MISERICORDE</v>
      </c>
      <c r="C3861" t="s">
        <v>78</v>
      </c>
    </row>
    <row r="3862" spans="1:3" x14ac:dyDescent="0.25">
      <c r="A3862" t="str">
        <f>"530005883"</f>
        <v>530005883</v>
      </c>
      <c r="B3862" t="str">
        <f>"EHPAD LA PROVIDENCE"</f>
        <v>EHPAD LA PROVIDENCE</v>
      </c>
      <c r="C3862" t="s">
        <v>78</v>
      </c>
    </row>
    <row r="3863" spans="1:3" x14ac:dyDescent="0.25">
      <c r="A3863" t="str">
        <f>"530006709"</f>
        <v>530006709</v>
      </c>
      <c r="B3863" t="str">
        <f>"EHPAD CIGMA"</f>
        <v>EHPAD CIGMA</v>
      </c>
      <c r="C3863" t="s">
        <v>78</v>
      </c>
    </row>
    <row r="3864" spans="1:3" x14ac:dyDescent="0.25">
      <c r="A3864" t="str">
        <f>"530006758"</f>
        <v>530006758</v>
      </c>
      <c r="B3864" t="str">
        <f>"EHPAD PERRINE THULARD"</f>
        <v>EHPAD PERRINE THULARD</v>
      </c>
      <c r="C3864" t="s">
        <v>78</v>
      </c>
    </row>
    <row r="3865" spans="1:3" x14ac:dyDescent="0.25">
      <c r="A3865" t="str">
        <f>"530007368"</f>
        <v>530007368</v>
      </c>
      <c r="B3865" t="str">
        <f>"EHPAD KORIAN LA VILLA DU CHENE D'OR"</f>
        <v>EHPAD KORIAN LA VILLA DU CHENE D'OR</v>
      </c>
      <c r="C3865" t="s">
        <v>78</v>
      </c>
    </row>
    <row r="3866" spans="1:3" x14ac:dyDescent="0.25">
      <c r="A3866" t="str">
        <f>"530009034"</f>
        <v>530009034</v>
      </c>
      <c r="B3866" t="str">
        <f>"EHPAD FERRIE"</f>
        <v>EHPAD FERRIE</v>
      </c>
      <c r="C3866" t="s">
        <v>78</v>
      </c>
    </row>
    <row r="3867" spans="1:3" x14ac:dyDescent="0.25">
      <c r="A3867" t="str">
        <f>"530028968"</f>
        <v>530028968</v>
      </c>
      <c r="B3867" t="str">
        <f>"EHPAD JEANNE JUGAN"</f>
        <v>EHPAD JEANNE JUGAN</v>
      </c>
      <c r="C3867" t="s">
        <v>78</v>
      </c>
    </row>
    <row r="3868" spans="1:3" x14ac:dyDescent="0.25">
      <c r="A3868" t="str">
        <f>"530029164"</f>
        <v>530029164</v>
      </c>
      <c r="B3868" t="str">
        <f>"EHPAD ND DE LA MISERICORDE"</f>
        <v>EHPAD ND DE LA MISERICORDE</v>
      </c>
      <c r="C3868" t="s">
        <v>78</v>
      </c>
    </row>
    <row r="3869" spans="1:3" x14ac:dyDescent="0.25">
      <c r="A3869" t="str">
        <f>"530029172"</f>
        <v>530029172</v>
      </c>
      <c r="B3869" t="str">
        <f>"EHPAD DE PONTMAIN"</f>
        <v>EHPAD DE PONTMAIN</v>
      </c>
      <c r="C3869" t="s">
        <v>78</v>
      </c>
    </row>
    <row r="3870" spans="1:3" x14ac:dyDescent="0.25">
      <c r="A3870" t="str">
        <f>"530029180"</f>
        <v>530029180</v>
      </c>
      <c r="B3870" t="str">
        <f>"EHPAD SAINT FRAIMBAULT"</f>
        <v>EHPAD SAINT FRAIMBAULT</v>
      </c>
      <c r="C3870" t="s">
        <v>78</v>
      </c>
    </row>
    <row r="3871" spans="1:3" x14ac:dyDescent="0.25">
      <c r="A3871" t="str">
        <f>"530029198"</f>
        <v>530029198</v>
      </c>
      <c r="B3871" t="str">
        <f>"EHPAD RESIDENCE DE L'ORIOLET"</f>
        <v>EHPAD RESIDENCE DE L'ORIOLET</v>
      </c>
      <c r="C3871" t="s">
        <v>78</v>
      </c>
    </row>
    <row r="3872" spans="1:3" x14ac:dyDescent="0.25">
      <c r="A3872" t="str">
        <f>"530029297"</f>
        <v>530029297</v>
      </c>
      <c r="B3872" t="str">
        <f>"EHPAD LA RESIDENCE PAUL LAIZE"</f>
        <v>EHPAD LA RESIDENCE PAUL LAIZE</v>
      </c>
      <c r="C3872" t="s">
        <v>78</v>
      </c>
    </row>
    <row r="3873" spans="1:3" x14ac:dyDescent="0.25">
      <c r="A3873" t="str">
        <f>"530029313"</f>
        <v>530029313</v>
      </c>
      <c r="B3873" t="str">
        <f>"EHPAD BON ACCUEIL"</f>
        <v>EHPAD BON ACCUEIL</v>
      </c>
      <c r="C3873" t="s">
        <v>78</v>
      </c>
    </row>
    <row r="3874" spans="1:3" x14ac:dyDescent="0.25">
      <c r="A3874" t="str">
        <f>"530029321"</f>
        <v>530029321</v>
      </c>
      <c r="B3874" t="str">
        <f>"EHPAD EUGENE MARIE"</f>
        <v>EHPAD EUGENE MARIE</v>
      </c>
      <c r="C3874" t="s">
        <v>78</v>
      </c>
    </row>
    <row r="3875" spans="1:3" x14ac:dyDescent="0.25">
      <c r="A3875" t="str">
        <f>"530029347"</f>
        <v>530029347</v>
      </c>
      <c r="B3875" t="str">
        <f>"EHPAD EUROLAT"</f>
        <v>EHPAD EUROLAT</v>
      </c>
      <c r="C3875" t="s">
        <v>78</v>
      </c>
    </row>
    <row r="3876" spans="1:3" x14ac:dyDescent="0.25">
      <c r="A3876" t="str">
        <f>"530030139"</f>
        <v>530030139</v>
      </c>
      <c r="B3876" t="str">
        <f>"EHPAD LE FAUBOURG ST VENERAND"</f>
        <v>EHPAD LE FAUBOURG ST VENERAND</v>
      </c>
      <c r="C3876" t="s">
        <v>78</v>
      </c>
    </row>
    <row r="3877" spans="1:3" x14ac:dyDescent="0.25">
      <c r="A3877" t="str">
        <f>"530030147"</f>
        <v>530030147</v>
      </c>
      <c r="B3877" t="str">
        <f>"EHPAD LES MARRONNIERS"</f>
        <v>EHPAD LES MARRONNIERS</v>
      </c>
      <c r="C3877" t="s">
        <v>78</v>
      </c>
    </row>
    <row r="3878" spans="1:3" x14ac:dyDescent="0.25">
      <c r="A3878" t="str">
        <f>"530031350"</f>
        <v>530031350</v>
      </c>
      <c r="B3878" t="str">
        <f>"EHPAD LES COULEURS DE LA VIE"</f>
        <v>EHPAD LES COULEURS DE LA VIE</v>
      </c>
      <c r="C3878" t="s">
        <v>78</v>
      </c>
    </row>
    <row r="3879" spans="1:3" x14ac:dyDescent="0.25">
      <c r="A3879" t="str">
        <f>"530031368"</f>
        <v>530031368</v>
      </c>
      <c r="B3879" t="str">
        <f>"EHPAD HL LE BOIS JOLI"</f>
        <v>EHPAD HL LE BOIS JOLI</v>
      </c>
      <c r="C3879" t="s">
        <v>78</v>
      </c>
    </row>
    <row r="3880" spans="1:3" x14ac:dyDescent="0.25">
      <c r="A3880" t="str">
        <f>"530031376"</f>
        <v>530031376</v>
      </c>
      <c r="B3880" t="str">
        <f>"EHPAD PAUL LINTIER"</f>
        <v>EHPAD PAUL LINTIER</v>
      </c>
      <c r="C3880" t="s">
        <v>78</v>
      </c>
    </row>
    <row r="3881" spans="1:3" x14ac:dyDescent="0.25">
      <c r="A3881" t="str">
        <f>"530032739"</f>
        <v>530032739</v>
      </c>
      <c r="B3881" t="str">
        <f>"EHPAD CH SUD OUEST MAYENNAIS"</f>
        <v>EHPAD CH SUD OUEST MAYENNAIS</v>
      </c>
      <c r="C3881" t="s">
        <v>78</v>
      </c>
    </row>
    <row r="3882" spans="1:3" x14ac:dyDescent="0.25">
      <c r="A3882" t="str">
        <f>"530032754"</f>
        <v>530032754</v>
      </c>
      <c r="B3882" t="str">
        <f>"EHPAD CH ERNEE"</f>
        <v>EHPAD CH ERNEE</v>
      </c>
      <c r="C3882" t="s">
        <v>78</v>
      </c>
    </row>
    <row r="3883" spans="1:3" x14ac:dyDescent="0.25">
      <c r="A3883" t="str">
        <f>"530032762"</f>
        <v>530032762</v>
      </c>
      <c r="B3883" t="str">
        <f>"EHPAD CH SUD OUEST MAYENNAIS"</f>
        <v>EHPAD CH SUD OUEST MAYENNAIS</v>
      </c>
      <c r="C3883" t="s">
        <v>78</v>
      </c>
    </row>
    <row r="3884" spans="1:3" x14ac:dyDescent="0.25">
      <c r="A3884" t="str">
        <f>"530033067"</f>
        <v>530033067</v>
      </c>
      <c r="B3884" t="str">
        <f>"EHPAD CARPE DIEM"</f>
        <v>EHPAD CARPE DIEM</v>
      </c>
      <c r="C3884" t="s">
        <v>78</v>
      </c>
    </row>
    <row r="3885" spans="1:3" x14ac:dyDescent="0.25">
      <c r="A3885" t="str">
        <f>"530033075"</f>
        <v>530033075</v>
      </c>
      <c r="B3885" t="str">
        <f>"EHPAD RESIDENCE ST GABRIEL"</f>
        <v>EHPAD RESIDENCE ST GABRIEL</v>
      </c>
      <c r="C3885" t="s">
        <v>78</v>
      </c>
    </row>
    <row r="3886" spans="1:3" x14ac:dyDescent="0.25">
      <c r="A3886" t="str">
        <f>"530033133"</f>
        <v>530033133</v>
      </c>
      <c r="B3886" t="str">
        <f>"EHPAD KORIAN LE CASTELLI"</f>
        <v>EHPAD KORIAN LE CASTELLI</v>
      </c>
      <c r="C3886" t="s">
        <v>78</v>
      </c>
    </row>
    <row r="3887" spans="1:3" x14ac:dyDescent="0.25">
      <c r="A3887" t="str">
        <f>"530033240"</f>
        <v>530033240</v>
      </c>
      <c r="B3887" t="str">
        <f>"EHPAD LE ROCHER FLEURI"</f>
        <v>EHPAD LE ROCHER FLEURI</v>
      </c>
      <c r="C3887" t="s">
        <v>78</v>
      </c>
    </row>
    <row r="3888" spans="1:3" x14ac:dyDescent="0.25">
      <c r="A3888" t="str">
        <f>"530033547"</f>
        <v>530033547</v>
      </c>
      <c r="B3888" t="str">
        <f>"EHPAD EAU VIVE"</f>
        <v>EHPAD EAU VIVE</v>
      </c>
      <c r="C3888" t="s">
        <v>78</v>
      </c>
    </row>
    <row r="3889" spans="1:3" x14ac:dyDescent="0.25">
      <c r="A3889" t="str">
        <f>"540000775"</f>
        <v>540000775</v>
      </c>
      <c r="B3889" t="str">
        <f>"MAIS DE RETRAITE LES LILAS"</f>
        <v>MAIS DE RETRAITE LES LILAS</v>
      </c>
      <c r="C3889" t="s">
        <v>62</v>
      </c>
    </row>
    <row r="3890" spans="1:3" x14ac:dyDescent="0.25">
      <c r="A3890" t="str">
        <f>"540000791"</f>
        <v>540000791</v>
      </c>
      <c r="B3890" t="str">
        <f>"EHPAD LOUIS QUINQUET A LONGUYON"</f>
        <v>EHPAD LOUIS QUINQUET A LONGUYON</v>
      </c>
      <c r="C3890" t="s">
        <v>62</v>
      </c>
    </row>
    <row r="3891" spans="1:3" x14ac:dyDescent="0.25">
      <c r="A3891" t="str">
        <f>"540002219"</f>
        <v>540002219</v>
      </c>
      <c r="B3891" t="str">
        <f>"EHPAD ST CHARLES DOMBASLE"</f>
        <v>EHPAD ST CHARLES DOMBASLE</v>
      </c>
      <c r="C3891" t="s">
        <v>62</v>
      </c>
    </row>
    <row r="3892" spans="1:3" x14ac:dyDescent="0.25">
      <c r="A3892" t="str">
        <f>"540002342"</f>
        <v>540002342</v>
      </c>
      <c r="B3892" t="str">
        <f>"MAISON DE RETRAITE ST CHARLES VEZELISE"</f>
        <v>MAISON DE RETRAITE ST CHARLES VEZELISE</v>
      </c>
      <c r="C3892" t="s">
        <v>62</v>
      </c>
    </row>
    <row r="3893" spans="1:3" x14ac:dyDescent="0.25">
      <c r="A3893" t="str">
        <f>"540002466"</f>
        <v>540002466</v>
      </c>
      <c r="B3893" t="str">
        <f>"EHPAD VIVRE"</f>
        <v>EHPAD VIVRE</v>
      </c>
      <c r="C3893" t="s">
        <v>62</v>
      </c>
    </row>
    <row r="3894" spans="1:3" x14ac:dyDescent="0.25">
      <c r="A3894" t="str">
        <f>"540002474"</f>
        <v>540002474</v>
      </c>
      <c r="B3894" t="str">
        <f>"EHPAD DE BLAINVILLE SUR L'EAU"</f>
        <v>EHPAD DE BLAINVILLE SUR L'EAU</v>
      </c>
      <c r="C3894" t="s">
        <v>62</v>
      </c>
    </row>
    <row r="3895" spans="1:3" x14ac:dyDescent="0.25">
      <c r="A3895" t="str">
        <f>"540002557"</f>
        <v>540002557</v>
      </c>
      <c r="B3895" t="str">
        <f>"MAIS DE RETR BADONVILLER CH 3H SANTE"</f>
        <v>MAIS DE RETR BADONVILLER CH 3H SANTE</v>
      </c>
      <c r="C3895" t="s">
        <v>62</v>
      </c>
    </row>
    <row r="3896" spans="1:3" x14ac:dyDescent="0.25">
      <c r="A3896" t="str">
        <f>"540002573"</f>
        <v>540002573</v>
      </c>
      <c r="B3896" t="str">
        <f>"MAISON DE RETRAITE DE GERBEVILLER"</f>
        <v>MAISON DE RETRAITE DE GERBEVILLER</v>
      </c>
      <c r="C3896" t="s">
        <v>62</v>
      </c>
    </row>
    <row r="3897" spans="1:3" x14ac:dyDescent="0.25">
      <c r="A3897" t="str">
        <f>"540002581"</f>
        <v>540002581</v>
      </c>
      <c r="B3897" t="str">
        <f>"EHPAD JEAN FRANCOIS FIDRY A LABRY"</f>
        <v>EHPAD JEAN FRANCOIS FIDRY A LABRY</v>
      </c>
      <c r="C3897" t="s">
        <v>62</v>
      </c>
    </row>
    <row r="3898" spans="1:3" x14ac:dyDescent="0.25">
      <c r="A3898" t="str">
        <f>"540002599"</f>
        <v>540002599</v>
      </c>
      <c r="B3898" t="str">
        <f>"MR BAUD. DE COURCELLES HLI POMPEY-LAY"</f>
        <v>MR BAUD. DE COURCELLES HLI POMPEY-LAY</v>
      </c>
      <c r="C3898" t="s">
        <v>62</v>
      </c>
    </row>
    <row r="3899" spans="1:3" x14ac:dyDescent="0.25">
      <c r="A3899" t="str">
        <f>"540002607"</f>
        <v>540002607</v>
      </c>
      <c r="B3899" t="str">
        <f>"MAISON DE RETRAITE ST LOUIS DE LONGWY"</f>
        <v>MAISON DE RETRAITE ST LOUIS DE LONGWY</v>
      </c>
      <c r="C3899" t="s">
        <v>62</v>
      </c>
    </row>
    <row r="3900" spans="1:3" x14ac:dyDescent="0.25">
      <c r="A3900" t="str">
        <f>"540002615"</f>
        <v>540002615</v>
      </c>
      <c r="B3900" t="str">
        <f>"MAISON DE RETRAITE ST DOMINIQUE"</f>
        <v>MAISON DE RETRAITE ST DOMINIQUE</v>
      </c>
      <c r="C3900" t="s">
        <v>62</v>
      </c>
    </row>
    <row r="3901" spans="1:3" x14ac:dyDescent="0.25">
      <c r="A3901" t="str">
        <f>"540002623"</f>
        <v>540002623</v>
      </c>
      <c r="B3901" t="str">
        <f>"MAISON DE RETRAITE ST FR. D'ASSISE PAM"</f>
        <v>MAISON DE RETRAITE ST FR. D'ASSISE PAM</v>
      </c>
      <c r="C3901" t="s">
        <v>62</v>
      </c>
    </row>
    <row r="3902" spans="1:3" x14ac:dyDescent="0.25">
      <c r="A3902" t="str">
        <f>"540002631"</f>
        <v>540002631</v>
      </c>
      <c r="B3902" t="str">
        <f>"EHPAD STE SOPHIE"</f>
        <v>EHPAD STE SOPHIE</v>
      </c>
      <c r="C3902" t="s">
        <v>62</v>
      </c>
    </row>
    <row r="3903" spans="1:3" x14ac:dyDescent="0.25">
      <c r="A3903" t="str">
        <f>"540002656"</f>
        <v>540002656</v>
      </c>
      <c r="B3903" t="str">
        <f>"MAISON DE RETRAITE SIMON BENICHOU"</f>
        <v>MAISON DE RETRAITE SIMON BENICHOU</v>
      </c>
      <c r="C3903" t="s">
        <v>62</v>
      </c>
    </row>
    <row r="3904" spans="1:3" x14ac:dyDescent="0.25">
      <c r="A3904" t="str">
        <f>"540003118"</f>
        <v>540003118</v>
      </c>
      <c r="B3904" t="str">
        <f>"EHPAD SAINT REMY NANCY"</f>
        <v>EHPAD SAINT REMY NANCY</v>
      </c>
      <c r="C3904" t="s">
        <v>62</v>
      </c>
    </row>
    <row r="3905" spans="1:3" x14ac:dyDescent="0.25">
      <c r="A3905" t="str">
        <f>"540003126"</f>
        <v>540003126</v>
      </c>
      <c r="B3905" t="str">
        <f>"EHPAD LA SAINTE FAMILLE A VANDOEUVRE"</f>
        <v>EHPAD LA SAINTE FAMILLE A VANDOEUVRE</v>
      </c>
      <c r="C3905" t="s">
        <v>62</v>
      </c>
    </row>
    <row r="3906" spans="1:3" x14ac:dyDescent="0.25">
      <c r="A3906" t="str">
        <f>"540003134"</f>
        <v>540003134</v>
      </c>
      <c r="B3906" t="str">
        <f>"EHPAD ST CHARLES BAYON"</f>
        <v>EHPAD ST CHARLES BAYON</v>
      </c>
      <c r="C3906" t="s">
        <v>62</v>
      </c>
    </row>
    <row r="3907" spans="1:3" x14ac:dyDescent="0.25">
      <c r="A3907" t="str">
        <f>"540003142"</f>
        <v>540003142</v>
      </c>
      <c r="B3907" t="str">
        <f>"EHPAD STE THERESE LUDRES"</f>
        <v>EHPAD STE THERESE LUDRES</v>
      </c>
      <c r="C3907" t="s">
        <v>62</v>
      </c>
    </row>
    <row r="3908" spans="1:3" x14ac:dyDescent="0.25">
      <c r="A3908" t="str">
        <f>"540003167"</f>
        <v>540003167</v>
      </c>
      <c r="B3908" t="str">
        <f>"EHPAD NOTRE DAME DU BON REPOS"</f>
        <v>EHPAD NOTRE DAME DU BON REPOS</v>
      </c>
      <c r="C3908" t="s">
        <v>62</v>
      </c>
    </row>
    <row r="3909" spans="1:3" x14ac:dyDescent="0.25">
      <c r="A3909" t="str">
        <f>"540003209"</f>
        <v>540003209</v>
      </c>
      <c r="B3909" t="str">
        <f>"MAISON DE RETRAITE BEAU SITE"</f>
        <v>MAISON DE RETRAITE BEAU SITE</v>
      </c>
      <c r="C3909" t="s">
        <v>62</v>
      </c>
    </row>
    <row r="3910" spans="1:3" x14ac:dyDescent="0.25">
      <c r="A3910" t="str">
        <f>"540003308"</f>
        <v>540003308</v>
      </c>
      <c r="B3910" t="str">
        <f>"EHPAD LES MERISIERS CH BRIEY"</f>
        <v>EHPAD LES MERISIERS CH BRIEY</v>
      </c>
      <c r="C3910" t="s">
        <v>62</v>
      </c>
    </row>
    <row r="3911" spans="1:3" x14ac:dyDescent="0.25">
      <c r="A3911" t="str">
        <f>"540003498"</f>
        <v>540003498</v>
      </c>
      <c r="B3911" t="str">
        <f>"MAISON DE RETRAITE SAINT JOSEPH"</f>
        <v>MAISON DE RETRAITE SAINT JOSEPH</v>
      </c>
      <c r="C3911" t="s">
        <v>62</v>
      </c>
    </row>
    <row r="3912" spans="1:3" x14ac:dyDescent="0.25">
      <c r="A3912" t="str">
        <f>"540003779"</f>
        <v>540003779</v>
      </c>
      <c r="B3912" t="str">
        <f>"EHPAD KORIAN JARDINS DU CHARMOIS"</f>
        <v>EHPAD KORIAN JARDINS DU CHARMOIS</v>
      </c>
      <c r="C3912" t="s">
        <v>62</v>
      </c>
    </row>
    <row r="3913" spans="1:3" x14ac:dyDescent="0.25">
      <c r="A3913" t="str">
        <f>"540004363"</f>
        <v>540004363</v>
      </c>
      <c r="B3913" t="str">
        <f>"MAIS DE RETRAITE POMPEY HLI POMPEY-LAY"</f>
        <v>MAIS DE RETRAITE POMPEY HLI POMPEY-LAY</v>
      </c>
      <c r="C3913" t="s">
        <v>62</v>
      </c>
    </row>
    <row r="3914" spans="1:3" x14ac:dyDescent="0.25">
      <c r="A3914" t="str">
        <f>"540004462"</f>
        <v>540004462</v>
      </c>
      <c r="B3914" t="str">
        <f>"EHPAD STERN CH DE BRIEY"</f>
        <v>EHPAD STERN CH DE BRIEY</v>
      </c>
      <c r="C3914" t="s">
        <v>62</v>
      </c>
    </row>
    <row r="3915" spans="1:3" x14ac:dyDescent="0.25">
      <c r="A3915" t="str">
        <f>"540004512"</f>
        <v>540004512</v>
      </c>
      <c r="B3915" t="str">
        <f>"MAISON DE RETRAITE LES SABLONS"</f>
        <v>MAISON DE RETRAITE LES SABLONS</v>
      </c>
      <c r="C3915" t="s">
        <v>62</v>
      </c>
    </row>
    <row r="3916" spans="1:3" x14ac:dyDescent="0.25">
      <c r="A3916" t="str">
        <f>"540004520"</f>
        <v>540004520</v>
      </c>
      <c r="B3916" t="str">
        <f>"EHPAD NOTRE MAISON"</f>
        <v>EHPAD NOTRE MAISON</v>
      </c>
      <c r="C3916" t="s">
        <v>62</v>
      </c>
    </row>
    <row r="3917" spans="1:3" x14ac:dyDescent="0.25">
      <c r="A3917" t="str">
        <f>"540004579"</f>
        <v>540004579</v>
      </c>
      <c r="B3917" t="str">
        <f>"MAISON RETRAITE LES IRIS"</f>
        <v>MAISON RETRAITE LES IRIS</v>
      </c>
      <c r="C3917" t="s">
        <v>62</v>
      </c>
    </row>
    <row r="3918" spans="1:3" x14ac:dyDescent="0.25">
      <c r="A3918" t="str">
        <f>"540004611"</f>
        <v>540004611</v>
      </c>
      <c r="B3918" t="str">
        <f>"RESIDENCE POINCARE- MAISON DE RETRAITE"</f>
        <v>RESIDENCE POINCARE- MAISON DE RETRAITE</v>
      </c>
      <c r="C3918" t="s">
        <v>62</v>
      </c>
    </row>
    <row r="3919" spans="1:3" x14ac:dyDescent="0.25">
      <c r="A3919" t="str">
        <f>"540005352"</f>
        <v>540005352</v>
      </c>
      <c r="B3919" t="str">
        <f>"MAISON DE RETRAITE J MAGOT CH PAM"</f>
        <v>MAISON DE RETRAITE J MAGOT CH PAM</v>
      </c>
      <c r="C3919" t="s">
        <v>62</v>
      </c>
    </row>
    <row r="3920" spans="1:3" x14ac:dyDescent="0.25">
      <c r="A3920" t="str">
        <f>"540005360"</f>
        <v>540005360</v>
      </c>
      <c r="B3920" t="str">
        <f>"MAISON DE RETR CIREY/VEZ CH 3H SANTE"</f>
        <v>MAISON DE RETR CIREY/VEZ CH 3H SANTE</v>
      </c>
      <c r="C3920" t="s">
        <v>62</v>
      </c>
    </row>
    <row r="3921" spans="1:3" x14ac:dyDescent="0.25">
      <c r="A3921" t="str">
        <f>"540006400"</f>
        <v>540006400</v>
      </c>
      <c r="B3921" t="str">
        <f>"HOTEL CLUB RESIDENCE RETRAITE"</f>
        <v>HOTEL CLUB RESIDENCE RETRAITE</v>
      </c>
      <c r="C3921" t="s">
        <v>62</v>
      </c>
    </row>
    <row r="3922" spans="1:3" x14ac:dyDescent="0.25">
      <c r="A3922" t="str">
        <f>"540006608"</f>
        <v>540006608</v>
      </c>
      <c r="B3922" t="str">
        <f>"MAISON DE RETRAITE CH TOUL"</f>
        <v>MAISON DE RETRAITE CH TOUL</v>
      </c>
      <c r="C3922" t="s">
        <v>62</v>
      </c>
    </row>
    <row r="3923" spans="1:3" x14ac:dyDescent="0.25">
      <c r="A3923" t="str">
        <f>"540006657"</f>
        <v>540006657</v>
      </c>
      <c r="B3923" t="str">
        <f>"MAISON DE RETR CH ST NICOLAS DE PORT"</f>
        <v>MAISON DE RETR CH ST NICOLAS DE PORT</v>
      </c>
      <c r="C3923" t="s">
        <v>62</v>
      </c>
    </row>
    <row r="3924" spans="1:3" x14ac:dyDescent="0.25">
      <c r="A3924" t="str">
        <f>"540006673"</f>
        <v>540006673</v>
      </c>
      <c r="B3924" t="str">
        <f>"MAISON DE RETRAITE BLAMONT CH 3H SANTE"</f>
        <v>MAISON DE RETRAITE BLAMONT CH 3H SANTE</v>
      </c>
      <c r="C3924" t="s">
        <v>62</v>
      </c>
    </row>
    <row r="3925" spans="1:3" x14ac:dyDescent="0.25">
      <c r="A3925" t="str">
        <f>"540006772"</f>
        <v>540006772</v>
      </c>
      <c r="B3925" t="str">
        <f>"MAISON DE RETRAITE CH LUNEVILLE"</f>
        <v>MAISON DE RETRAITE CH LUNEVILLE</v>
      </c>
      <c r="C3925" t="s">
        <v>62</v>
      </c>
    </row>
    <row r="3926" spans="1:3" x14ac:dyDescent="0.25">
      <c r="A3926" t="str">
        <f>"540008208"</f>
        <v>540008208</v>
      </c>
      <c r="B3926" t="str">
        <f>"RESIDENCE EHPAD LE PARC"</f>
        <v>RESIDENCE EHPAD LE PARC</v>
      </c>
      <c r="C3926" t="s">
        <v>62</v>
      </c>
    </row>
    <row r="3927" spans="1:3" x14ac:dyDescent="0.25">
      <c r="A3927" t="str">
        <f>"540008216"</f>
        <v>540008216</v>
      </c>
      <c r="B3927" t="str">
        <f>"EHPAD KORIAN LE GENTILE"</f>
        <v>EHPAD KORIAN LE GENTILE</v>
      </c>
      <c r="C3927" t="s">
        <v>62</v>
      </c>
    </row>
    <row r="3928" spans="1:3" x14ac:dyDescent="0.25">
      <c r="A3928" t="str">
        <f>"540008232"</f>
        <v>540008232</v>
      </c>
      <c r="B3928" t="str">
        <f>"EHPAD RESIDENCE LES HIBISCUS"</f>
        <v>EHPAD RESIDENCE LES HIBISCUS</v>
      </c>
      <c r="C3928" t="s">
        <v>62</v>
      </c>
    </row>
    <row r="3929" spans="1:3" x14ac:dyDescent="0.25">
      <c r="A3929" t="str">
        <f>"540008372"</f>
        <v>540008372</v>
      </c>
      <c r="B3929" t="str">
        <f>"EHPAD ST SAUVEUR"</f>
        <v>EHPAD ST SAUVEUR</v>
      </c>
      <c r="C3929" t="s">
        <v>62</v>
      </c>
    </row>
    <row r="3930" spans="1:3" x14ac:dyDescent="0.25">
      <c r="A3930" t="str">
        <f>"540008539"</f>
        <v>540008539</v>
      </c>
      <c r="B3930" t="str">
        <f>"MAISON DE RETRAITE DE LA COMPASSION"</f>
        <v>MAISON DE RETRAITE DE LA COMPASSION</v>
      </c>
      <c r="C3930" t="s">
        <v>62</v>
      </c>
    </row>
    <row r="3931" spans="1:3" x14ac:dyDescent="0.25">
      <c r="A3931" t="str">
        <f>"540008703"</f>
        <v>540008703</v>
      </c>
      <c r="B3931" t="str">
        <f>"MAISON DE RETRAITE ' LE BAS CHATEAU '"</f>
        <v>MAISON DE RETRAITE ' LE BAS CHATEAU '</v>
      </c>
      <c r="C3931" t="s">
        <v>62</v>
      </c>
    </row>
    <row r="3932" spans="1:3" x14ac:dyDescent="0.25">
      <c r="A3932" t="str">
        <f>"540009024"</f>
        <v>540009024</v>
      </c>
      <c r="B3932" t="str">
        <f>"MAIS RETRAITE VILLA ST PIERRE FOURIER"</f>
        <v>MAIS RETRAITE VILLA ST PIERRE FOURIER</v>
      </c>
      <c r="C3932" t="s">
        <v>62</v>
      </c>
    </row>
    <row r="3933" spans="1:3" x14ac:dyDescent="0.25">
      <c r="A3933" t="str">
        <f>"540009479"</f>
        <v>540009479</v>
      </c>
      <c r="B3933" t="str">
        <f>"RESIDENCE LES HETRES"</f>
        <v>RESIDENCE LES HETRES</v>
      </c>
      <c r="C3933" t="s">
        <v>62</v>
      </c>
    </row>
    <row r="3934" spans="1:3" x14ac:dyDescent="0.25">
      <c r="A3934" t="str">
        <f>"540009917"</f>
        <v>540009917</v>
      </c>
      <c r="B3934" t="str">
        <f>"EHPAD DE JOEUF (ASSPO)"</f>
        <v>EHPAD DE JOEUF (ASSPO)</v>
      </c>
      <c r="C3934" t="s">
        <v>62</v>
      </c>
    </row>
    <row r="3935" spans="1:3" x14ac:dyDescent="0.25">
      <c r="A3935" t="str">
        <f>"540009925"</f>
        <v>540009925</v>
      </c>
      <c r="B3935" t="str">
        <f>"EHPAD ALMH SITE NEUVES MAISONS"</f>
        <v>EHPAD ALMH SITE NEUVES MAISONS</v>
      </c>
      <c r="C3935" t="s">
        <v>62</v>
      </c>
    </row>
    <row r="3936" spans="1:3" x14ac:dyDescent="0.25">
      <c r="A3936" t="str">
        <f>"540009966"</f>
        <v>540009966</v>
      </c>
      <c r="B3936" t="str">
        <f>"MAISON DE RETRAITE HOPITAL DE BACCARAT"</f>
        <v>MAISON DE RETRAITE HOPITAL DE BACCARAT</v>
      </c>
      <c r="C3936" t="s">
        <v>62</v>
      </c>
    </row>
    <row r="3937" spans="1:3" x14ac:dyDescent="0.25">
      <c r="A3937" t="str">
        <f>"540010774"</f>
        <v>540010774</v>
      </c>
      <c r="B3937" t="str">
        <f>"EHPAD LES MAISONS HOSPITAL. SITE NANCY"</f>
        <v>EHPAD LES MAISONS HOSPITAL. SITE NANCY</v>
      </c>
      <c r="C3937" t="s">
        <v>62</v>
      </c>
    </row>
    <row r="3938" spans="1:3" x14ac:dyDescent="0.25">
      <c r="A3938" t="str">
        <f>"540012838"</f>
        <v>540012838</v>
      </c>
      <c r="B3938" t="str">
        <f>"RESIDENCE LE HAUT DU BOIS"</f>
        <v>RESIDENCE LE HAUT DU BOIS</v>
      </c>
      <c r="C3938" t="s">
        <v>62</v>
      </c>
    </row>
    <row r="3939" spans="1:3" x14ac:dyDescent="0.25">
      <c r="A3939" t="str">
        <f>"540012994"</f>
        <v>540012994</v>
      </c>
      <c r="B3939" t="str">
        <f>"EHPAD LES GRANDS JARDINS"</f>
        <v>EHPAD LES GRANDS JARDINS</v>
      </c>
      <c r="C3939" t="s">
        <v>62</v>
      </c>
    </row>
    <row r="3940" spans="1:3" x14ac:dyDescent="0.25">
      <c r="A3940" t="str">
        <f>"540013315"</f>
        <v>540013315</v>
      </c>
      <c r="B3940" t="str">
        <f>"MAIS RETRAITE LA FONTAINE DE LINCOURT"</f>
        <v>MAIS RETRAITE LA FONTAINE DE LINCOURT</v>
      </c>
      <c r="C3940" t="s">
        <v>62</v>
      </c>
    </row>
    <row r="3941" spans="1:3" x14ac:dyDescent="0.25">
      <c r="A3941" t="str">
        <f>"540013323"</f>
        <v>540013323</v>
      </c>
      <c r="B3941" t="str">
        <f>"EHPAD KORIAN PLAISANCE"</f>
        <v>EHPAD KORIAN PLAISANCE</v>
      </c>
      <c r="C3941" t="s">
        <v>62</v>
      </c>
    </row>
    <row r="3942" spans="1:3" x14ac:dyDescent="0.25">
      <c r="A3942" t="str">
        <f>"540013661"</f>
        <v>540013661</v>
      </c>
      <c r="B3942" t="str">
        <f>"EHPAD LE HAUT DE TICHEMONT"</f>
        <v>EHPAD LE HAUT DE TICHEMONT</v>
      </c>
      <c r="C3942" t="s">
        <v>62</v>
      </c>
    </row>
    <row r="3943" spans="1:3" x14ac:dyDescent="0.25">
      <c r="A3943" t="str">
        <f>"540014008"</f>
        <v>540014008</v>
      </c>
      <c r="B3943" t="str">
        <f>"MAISON DE RETRAITE L'OSERAIE"</f>
        <v>MAISON DE RETRAITE L'OSERAIE</v>
      </c>
      <c r="C3943" t="s">
        <v>62</v>
      </c>
    </row>
    <row r="3944" spans="1:3" x14ac:dyDescent="0.25">
      <c r="A3944" t="str">
        <f>"540014198"</f>
        <v>540014198</v>
      </c>
      <c r="B3944" t="str">
        <f>"MAIS DE RETRAITE RESIDENCE LES CYGNES"</f>
        <v>MAIS DE RETRAITE RESIDENCE LES CYGNES</v>
      </c>
      <c r="C3944" t="s">
        <v>62</v>
      </c>
    </row>
    <row r="3945" spans="1:3" x14ac:dyDescent="0.25">
      <c r="A3945" t="str">
        <f>"540014248"</f>
        <v>540014248</v>
      </c>
      <c r="B3945" t="str">
        <f>"MR MAISON DES VIGNES (ADEF RESIDENCES)"</f>
        <v>MR MAISON DES VIGNES (ADEF RESIDENCES)</v>
      </c>
      <c r="C3945" t="s">
        <v>62</v>
      </c>
    </row>
    <row r="3946" spans="1:3" x14ac:dyDescent="0.25">
      <c r="A3946" t="str">
        <f>"540018488"</f>
        <v>540018488</v>
      </c>
      <c r="B3946" t="str">
        <f>"EHPAD MICHEL DINET"</f>
        <v>EHPAD MICHEL DINET</v>
      </c>
      <c r="C3946" t="s">
        <v>62</v>
      </c>
    </row>
    <row r="3947" spans="1:3" x14ac:dyDescent="0.25">
      <c r="A3947" t="str">
        <f>"540018538"</f>
        <v>540018538</v>
      </c>
      <c r="B3947" t="str">
        <f>"EHPAD ' LA MAISON DES MIRABELLIERS '"</f>
        <v>EHPAD ' LA MAISON DES MIRABELLIERS '</v>
      </c>
      <c r="C3947" t="s">
        <v>62</v>
      </c>
    </row>
    <row r="3948" spans="1:3" x14ac:dyDescent="0.25">
      <c r="A3948" t="str">
        <f>"540018686"</f>
        <v>540018686</v>
      </c>
      <c r="B3948" t="str">
        <f>"EHPAD KORIAN LA SAULX"</f>
        <v>EHPAD KORIAN LA SAULX</v>
      </c>
      <c r="C3948" t="s">
        <v>62</v>
      </c>
    </row>
    <row r="3949" spans="1:3" x14ac:dyDescent="0.25">
      <c r="A3949" t="str">
        <f>"540018975"</f>
        <v>540018975</v>
      </c>
      <c r="B3949" t="str">
        <f>"MAISON DE RETRAITE 'LA VERRIERE'"</f>
        <v>MAISON DE RETRAITE 'LA VERRIERE'</v>
      </c>
      <c r="C3949" t="s">
        <v>62</v>
      </c>
    </row>
    <row r="3950" spans="1:3" x14ac:dyDescent="0.25">
      <c r="A3950" t="str">
        <f>"540018983"</f>
        <v>540018983</v>
      </c>
      <c r="B3950" t="str">
        <f>"MAISON D'ACCUEIL BRANCION"</f>
        <v>MAISON D'ACCUEIL BRANCION</v>
      </c>
      <c r="C3950" t="s">
        <v>62</v>
      </c>
    </row>
    <row r="3951" spans="1:3" x14ac:dyDescent="0.25">
      <c r="A3951" t="str">
        <f>"540019148"</f>
        <v>540019148</v>
      </c>
      <c r="B3951" t="str">
        <f>"EHPAD MR CENTRE J. PARISOT BAINVILLE"</f>
        <v>EHPAD MR CENTRE J. PARISOT BAINVILLE</v>
      </c>
      <c r="C3951" t="s">
        <v>62</v>
      </c>
    </row>
    <row r="3952" spans="1:3" x14ac:dyDescent="0.25">
      <c r="A3952" t="str">
        <f>"540019247"</f>
        <v>540019247</v>
      </c>
      <c r="B3952" t="str">
        <f>"MAIS RETR N. CHAUMIERE HLI POMPEY-LAY"</f>
        <v>MAIS RETR N. CHAUMIERE HLI POMPEY-LAY</v>
      </c>
      <c r="C3952" t="s">
        <v>62</v>
      </c>
    </row>
    <row r="3953" spans="1:3" x14ac:dyDescent="0.25">
      <c r="A3953" t="str">
        <f>"540019254"</f>
        <v>540019254</v>
      </c>
      <c r="B3953" t="str">
        <f>"MAIS D'ORLAN (ACC JOUR) HLI POMPEY-LAY"</f>
        <v>MAIS D'ORLAN (ACC JOUR) HLI POMPEY-LAY</v>
      </c>
      <c r="C3953" t="s">
        <v>62</v>
      </c>
    </row>
    <row r="3954" spans="1:3" x14ac:dyDescent="0.25">
      <c r="A3954" t="str">
        <f>"540019577"</f>
        <v>540019577</v>
      </c>
      <c r="B3954" t="str">
        <f>"MAISON DE RETRAITE DU CLOS PRE"</f>
        <v>MAISON DE RETRAITE DU CLOS PRE</v>
      </c>
      <c r="C3954" t="s">
        <v>62</v>
      </c>
    </row>
    <row r="3955" spans="1:3" x14ac:dyDescent="0.25">
      <c r="A3955" t="str">
        <f>"540019585"</f>
        <v>540019585</v>
      </c>
      <c r="B3955" t="str">
        <f>"RESIDENCE AU GRE DU VENT"</f>
        <v>RESIDENCE AU GRE DU VENT</v>
      </c>
      <c r="C3955" t="s">
        <v>62</v>
      </c>
    </row>
    <row r="3956" spans="1:3" x14ac:dyDescent="0.25">
      <c r="A3956" t="str">
        <f>"540020260"</f>
        <v>540020260</v>
      </c>
      <c r="B3956" t="str">
        <f>"EHPAD LES JARDINS DE LA VIRE"</f>
        <v>EHPAD LES JARDINS DE LA VIRE</v>
      </c>
      <c r="C3956" t="s">
        <v>62</v>
      </c>
    </row>
    <row r="3957" spans="1:3" x14ac:dyDescent="0.25">
      <c r="A3957" t="str">
        <f>"540020278"</f>
        <v>540020278</v>
      </c>
      <c r="B3957" t="str">
        <f>"EHPAD DE FOUG"</f>
        <v>EHPAD DE FOUG</v>
      </c>
      <c r="C3957" t="s">
        <v>62</v>
      </c>
    </row>
    <row r="3958" spans="1:3" x14ac:dyDescent="0.25">
      <c r="A3958" t="str">
        <f>"540020807"</f>
        <v>540020807</v>
      </c>
      <c r="B3958" t="str">
        <f>"EHPAD LA CLAIRIERE"</f>
        <v>EHPAD LA CLAIRIERE</v>
      </c>
      <c r="C3958" t="s">
        <v>62</v>
      </c>
    </row>
    <row r="3959" spans="1:3" x14ac:dyDescent="0.25">
      <c r="A3959" t="str">
        <f>"540023371"</f>
        <v>540023371</v>
      </c>
      <c r="B3959" t="str">
        <f>"EHPAD LA MAISON DES CERISIERS"</f>
        <v>EHPAD LA MAISON DES CERISIERS</v>
      </c>
      <c r="C3959" t="s">
        <v>62</v>
      </c>
    </row>
    <row r="3960" spans="1:3" x14ac:dyDescent="0.25">
      <c r="A3960" t="str">
        <f>"540023389"</f>
        <v>540023389</v>
      </c>
      <c r="B3960" t="str">
        <f>"EHPAD OHS HOMECOURT"</f>
        <v>EHPAD OHS HOMECOURT</v>
      </c>
      <c r="C3960" t="s">
        <v>62</v>
      </c>
    </row>
    <row r="3961" spans="1:3" x14ac:dyDescent="0.25">
      <c r="A3961" t="str">
        <f>"540024510"</f>
        <v>540024510</v>
      </c>
      <c r="B3961" t="str">
        <f>"EHPAD LES SENTIERS DE RAVENNE (ASSPO)"</f>
        <v>EHPAD LES SENTIERS DE RAVENNE (ASSPO)</v>
      </c>
      <c r="C3961" t="s">
        <v>62</v>
      </c>
    </row>
    <row r="3962" spans="1:3" x14ac:dyDescent="0.25">
      <c r="A3962" t="str">
        <f>"550000079"</f>
        <v>550000079</v>
      </c>
      <c r="B3962" t="str">
        <f>"EHPAD D'ARGONNE - SITE DE CLERMONT"</f>
        <v>EHPAD D'ARGONNE - SITE DE CLERMONT</v>
      </c>
      <c r="C3962" t="s">
        <v>62</v>
      </c>
    </row>
    <row r="3963" spans="1:3" x14ac:dyDescent="0.25">
      <c r="A3963" t="str">
        <f>"550000087"</f>
        <v>550000087</v>
      </c>
      <c r="B3963" t="str">
        <f>"MAISON DE RETRAITE JEAN GUILLOT"</f>
        <v>MAISON DE RETRAITE JEAN GUILLOT</v>
      </c>
      <c r="C3963" t="s">
        <v>62</v>
      </c>
    </row>
    <row r="3964" spans="1:3" x14ac:dyDescent="0.25">
      <c r="A3964" t="str">
        <f>"550000210"</f>
        <v>550000210</v>
      </c>
      <c r="B3964" t="str">
        <f>"EHPAD VALLEE DE LA MEUSE - VAUCOULEURS"</f>
        <v>EHPAD VALLEE DE LA MEUSE - VAUCOULEURS</v>
      </c>
      <c r="C3964" t="s">
        <v>62</v>
      </c>
    </row>
    <row r="3965" spans="1:3" x14ac:dyDescent="0.25">
      <c r="A3965" t="str">
        <f>"550002216"</f>
        <v>550002216</v>
      </c>
      <c r="B3965" t="str">
        <f>"MAISON DE RETRAITE 'EUGENIE'"</f>
        <v>MAISON DE RETRAITE 'EUGENIE'</v>
      </c>
      <c r="C3965" t="s">
        <v>62</v>
      </c>
    </row>
    <row r="3966" spans="1:3" x14ac:dyDescent="0.25">
      <c r="A3966" t="str">
        <f>"550002224"</f>
        <v>550002224</v>
      </c>
      <c r="B3966" t="str">
        <f>"MAISON DE RETRAITE LATAYE"</f>
        <v>MAISON DE RETRAITE LATAYE</v>
      </c>
      <c r="C3966" t="s">
        <v>62</v>
      </c>
    </row>
    <row r="3967" spans="1:3" x14ac:dyDescent="0.25">
      <c r="A3967" t="str">
        <f>"550002232"</f>
        <v>550002232</v>
      </c>
      <c r="B3967" t="str">
        <f>"EHPAD SAINT CHARLES GONDRECOURT"</f>
        <v>EHPAD SAINT CHARLES GONDRECOURT</v>
      </c>
      <c r="C3967" t="s">
        <v>62</v>
      </c>
    </row>
    <row r="3968" spans="1:3" x14ac:dyDescent="0.25">
      <c r="A3968" t="str">
        <f>"550002240"</f>
        <v>550002240</v>
      </c>
      <c r="B3968" t="str">
        <f>"MAISON DE RETRAITE DE LIGNY"</f>
        <v>MAISON DE RETRAITE DE LIGNY</v>
      </c>
      <c r="C3968" t="s">
        <v>62</v>
      </c>
    </row>
    <row r="3969" spans="1:3" x14ac:dyDescent="0.25">
      <c r="A3969" t="str">
        <f>"550002257"</f>
        <v>550002257</v>
      </c>
      <c r="B3969" t="str">
        <f>"EHPAD D'ARGONNE - SITE DE MONTFAUCON"</f>
        <v>EHPAD D'ARGONNE - SITE DE MONTFAUCON</v>
      </c>
      <c r="C3969" t="s">
        <v>62</v>
      </c>
    </row>
    <row r="3970" spans="1:3" x14ac:dyDescent="0.25">
      <c r="A3970" t="str">
        <f>"550002273"</f>
        <v>550002273</v>
      </c>
      <c r="B3970" t="str">
        <f>"EHPAD D'ARGONNE - SITE DE VARENNES"</f>
        <v>EHPAD D'ARGONNE - SITE DE VARENNES</v>
      </c>
      <c r="C3970" t="s">
        <v>62</v>
      </c>
    </row>
    <row r="3971" spans="1:3" x14ac:dyDescent="0.25">
      <c r="A3971" t="str">
        <f>"550002281"</f>
        <v>550002281</v>
      </c>
      <c r="B3971" t="str">
        <f>"EHPAD VALLEE DE LA MEUSE - VOID VACON"</f>
        <v>EHPAD VALLEE DE LA MEUSE - VOID VACON</v>
      </c>
      <c r="C3971" t="s">
        <v>62</v>
      </c>
    </row>
    <row r="3972" spans="1:3" x14ac:dyDescent="0.25">
      <c r="A3972" t="str">
        <f>"550003594"</f>
        <v>550003594</v>
      </c>
      <c r="B3972" t="str">
        <f>"MAISON DE RETRAITE VICTOR BONAL"</f>
        <v>MAISON DE RETRAITE VICTOR BONAL</v>
      </c>
      <c r="C3972" t="s">
        <v>62</v>
      </c>
    </row>
    <row r="3973" spans="1:3" x14ac:dyDescent="0.25">
      <c r="A3973" t="str">
        <f>"550003602"</f>
        <v>550003602</v>
      </c>
      <c r="B3973" t="str">
        <f>"EHPAD LA SAPINIERE"</f>
        <v>EHPAD LA SAPINIERE</v>
      </c>
      <c r="C3973" t="s">
        <v>62</v>
      </c>
    </row>
    <row r="3974" spans="1:3" x14ac:dyDescent="0.25">
      <c r="A3974" t="str">
        <f>"550003727"</f>
        <v>550003727</v>
      </c>
      <c r="B3974" t="str">
        <f>"RESIDENCE JACQUES BARAT- DUPONT"</f>
        <v>RESIDENCE JACQUES BARAT- DUPONT</v>
      </c>
      <c r="C3974" t="s">
        <v>62</v>
      </c>
    </row>
    <row r="3975" spans="1:3" x14ac:dyDescent="0.25">
      <c r="A3975" t="str">
        <f>"550004055"</f>
        <v>550004055</v>
      </c>
      <c r="B3975" t="str">
        <f>"EHPAD GLORIEUX SAINT JOSEPH"</f>
        <v>EHPAD GLORIEUX SAINT JOSEPH</v>
      </c>
      <c r="C3975" t="s">
        <v>62</v>
      </c>
    </row>
    <row r="3976" spans="1:3" x14ac:dyDescent="0.25">
      <c r="A3976" t="str">
        <f>"550004618"</f>
        <v>550004618</v>
      </c>
      <c r="B3976" t="str">
        <f>"EHPAD MAURICE CHARLIER-CH DE COMMERCY"</f>
        <v>EHPAD MAURICE CHARLIER-CH DE COMMERCY</v>
      </c>
      <c r="C3976" t="s">
        <v>62</v>
      </c>
    </row>
    <row r="3977" spans="1:3" x14ac:dyDescent="0.25">
      <c r="A3977" t="str">
        <f>"550004634"</f>
        <v>550004634</v>
      </c>
      <c r="B3977" t="str">
        <f>"EHPAD SAINTE ANNE - SAINT MIHIEL"</f>
        <v>EHPAD SAINTE ANNE - SAINT MIHIEL</v>
      </c>
      <c r="C3977" t="s">
        <v>62</v>
      </c>
    </row>
    <row r="3978" spans="1:3" x14ac:dyDescent="0.25">
      <c r="A3978" t="str">
        <f>"550004949"</f>
        <v>550004949</v>
      </c>
      <c r="B3978" t="str">
        <f>"UNITE D'ACCUEIL SPECIALISE ALZHEIMER"</f>
        <v>UNITE D'ACCUEIL SPECIALISE ALZHEIMER</v>
      </c>
      <c r="C3978" t="s">
        <v>62</v>
      </c>
    </row>
    <row r="3979" spans="1:3" x14ac:dyDescent="0.25">
      <c r="A3979" t="str">
        <f>"550005177"</f>
        <v>550005177</v>
      </c>
      <c r="B3979" t="str">
        <f>"EHPAD STE CATHERINE"</f>
        <v>EHPAD STE CATHERINE</v>
      </c>
      <c r="C3979" t="s">
        <v>62</v>
      </c>
    </row>
    <row r="3980" spans="1:3" x14ac:dyDescent="0.25">
      <c r="A3980" t="str">
        <f>"550005250"</f>
        <v>550005250</v>
      </c>
      <c r="B3980" t="str">
        <f>"EHPAD SAINT GEORGES OHS"</f>
        <v>EHPAD SAINT GEORGES OHS</v>
      </c>
      <c r="C3980" t="s">
        <v>62</v>
      </c>
    </row>
    <row r="3981" spans="1:3" x14ac:dyDescent="0.25">
      <c r="A3981" t="str">
        <f>"550005615"</f>
        <v>550005615</v>
      </c>
      <c r="B3981" t="str">
        <f>"RESIDENCE LES MELEZES"</f>
        <v>RESIDENCE LES MELEZES</v>
      </c>
      <c r="C3981" t="s">
        <v>62</v>
      </c>
    </row>
    <row r="3982" spans="1:3" x14ac:dyDescent="0.25">
      <c r="A3982" t="str">
        <f>"550006340"</f>
        <v>550006340</v>
      </c>
      <c r="B3982" t="str">
        <f>"EHPAD LES CEPAGES BAR LE DUC"</f>
        <v>EHPAD LES CEPAGES BAR LE DUC</v>
      </c>
      <c r="C3982" t="s">
        <v>62</v>
      </c>
    </row>
    <row r="3983" spans="1:3" x14ac:dyDescent="0.25">
      <c r="A3983" t="str">
        <f>"550006357"</f>
        <v>550006357</v>
      </c>
      <c r="B3983" t="str">
        <f>"EHPAD LES EAUX VIVES DE TRIAUCOURT"</f>
        <v>EHPAD LES EAUX VIVES DE TRIAUCOURT</v>
      </c>
      <c r="C3983" t="s">
        <v>62</v>
      </c>
    </row>
    <row r="3984" spans="1:3" x14ac:dyDescent="0.25">
      <c r="A3984" t="str">
        <f>"550006365"</f>
        <v>550006365</v>
      </c>
      <c r="B3984" t="str">
        <f>"EHPAD LES EAUX VIVES DE SOUILLY"</f>
        <v>EHPAD LES EAUX VIVES DE SOUILLY</v>
      </c>
      <c r="C3984" t="s">
        <v>62</v>
      </c>
    </row>
    <row r="3985" spans="1:3" x14ac:dyDescent="0.25">
      <c r="A3985" t="str">
        <f>"550006373"</f>
        <v>550006373</v>
      </c>
      <c r="B3985" t="str">
        <f>"EHPAD LES EAUX VIVES DE PIERREFITTE"</f>
        <v>EHPAD LES EAUX VIVES DE PIERREFITTE</v>
      </c>
      <c r="C3985" t="s">
        <v>62</v>
      </c>
    </row>
    <row r="3986" spans="1:3" x14ac:dyDescent="0.25">
      <c r="A3986" t="str">
        <f>"550006829"</f>
        <v>550006829</v>
      </c>
      <c r="B3986" t="str">
        <f>"EHPAD DE SPINCOURT"</f>
        <v>EHPAD DE SPINCOURT</v>
      </c>
      <c r="C3986" t="s">
        <v>62</v>
      </c>
    </row>
    <row r="3987" spans="1:3" x14ac:dyDescent="0.25">
      <c r="A3987" t="str">
        <f>"560000267"</f>
        <v>560000267</v>
      </c>
      <c r="B3987" t="str">
        <f>"EHPAD LA CHAUMIERE"</f>
        <v>EHPAD LA CHAUMIERE</v>
      </c>
      <c r="C3987" t="s">
        <v>65</v>
      </c>
    </row>
    <row r="3988" spans="1:3" x14ac:dyDescent="0.25">
      <c r="A3988" t="str">
        <f>"560002230"</f>
        <v>560002230</v>
      </c>
      <c r="B3988" t="str">
        <f>"RESIDENCE LE CLOS DES GRANDS CHENES"</f>
        <v>RESIDENCE LE CLOS DES GRANDS CHENES</v>
      </c>
      <c r="C3988" t="s">
        <v>65</v>
      </c>
    </row>
    <row r="3989" spans="1:3" x14ac:dyDescent="0.25">
      <c r="A3989" t="str">
        <f>"560002248"</f>
        <v>560002248</v>
      </c>
      <c r="B3989" t="str">
        <f>"EHPAD TI AIEUL"</f>
        <v>EHPAD TI AIEUL</v>
      </c>
      <c r="C3989" t="s">
        <v>65</v>
      </c>
    </row>
    <row r="3990" spans="1:3" x14ac:dyDescent="0.25">
      <c r="A3990" t="str">
        <f>"560002255"</f>
        <v>560002255</v>
      </c>
      <c r="B3990" t="str">
        <f>"EHPAD TY MEM BRO"</f>
        <v>EHPAD TY MEM BRO</v>
      </c>
      <c r="C3990" t="s">
        <v>65</v>
      </c>
    </row>
    <row r="3991" spans="1:3" x14ac:dyDescent="0.25">
      <c r="A3991" t="str">
        <f>"560002263"</f>
        <v>560002263</v>
      </c>
      <c r="B3991" t="str">
        <f>"EHPAD MEN GLAZ"</f>
        <v>EHPAD MEN GLAZ</v>
      </c>
      <c r="C3991" t="s">
        <v>65</v>
      </c>
    </row>
    <row r="3992" spans="1:3" x14ac:dyDescent="0.25">
      <c r="A3992" t="str">
        <f>"560002271"</f>
        <v>560002271</v>
      </c>
      <c r="B3992" t="str">
        <f>"EHPAD LE FLORILEGE"</f>
        <v>EHPAD LE FLORILEGE</v>
      </c>
      <c r="C3992" t="s">
        <v>65</v>
      </c>
    </row>
    <row r="3993" spans="1:3" x14ac:dyDescent="0.25">
      <c r="A3993" t="str">
        <f>"560002289"</f>
        <v>560002289</v>
      </c>
      <c r="B3993" t="str">
        <f>"RESIDENCE MENEZ DU"</f>
        <v>RESIDENCE MENEZ DU</v>
      </c>
      <c r="C3993" t="s">
        <v>65</v>
      </c>
    </row>
    <row r="3994" spans="1:3" x14ac:dyDescent="0.25">
      <c r="A3994" t="str">
        <f>"560002297"</f>
        <v>560002297</v>
      </c>
      <c r="B3994" t="str">
        <f>"EHPAD RESIDENCE PAPILLON D'OR"</f>
        <v>EHPAD RESIDENCE PAPILLON D'OR</v>
      </c>
      <c r="C3994" t="s">
        <v>65</v>
      </c>
    </row>
    <row r="3995" spans="1:3" x14ac:dyDescent="0.25">
      <c r="A3995" t="str">
        <f>"560002305"</f>
        <v>560002305</v>
      </c>
      <c r="B3995" t="str">
        <f>"RESIDENCE OCEANE"</f>
        <v>RESIDENCE OCEANE</v>
      </c>
      <c r="C3995" t="s">
        <v>65</v>
      </c>
    </row>
    <row r="3996" spans="1:3" x14ac:dyDescent="0.25">
      <c r="A3996" t="str">
        <f>"560002313"</f>
        <v>560002313</v>
      </c>
      <c r="B3996" t="str">
        <f>"RESIDENCE TY NOAL"</f>
        <v>RESIDENCE TY NOAL</v>
      </c>
      <c r="C3996" t="s">
        <v>65</v>
      </c>
    </row>
    <row r="3997" spans="1:3" x14ac:dyDescent="0.25">
      <c r="A3997" t="str">
        <f>"560002321"</f>
        <v>560002321</v>
      </c>
      <c r="B3997" t="str">
        <f>"RESIDENCE BOIS JOLI"</f>
        <v>RESIDENCE BOIS JOLI</v>
      </c>
      <c r="C3997" t="s">
        <v>65</v>
      </c>
    </row>
    <row r="3998" spans="1:3" x14ac:dyDescent="0.25">
      <c r="A3998" t="str">
        <f>"560002339"</f>
        <v>560002339</v>
      </c>
      <c r="B3998" t="str">
        <f>"EHPAD LA ROSE DES VENTS"</f>
        <v>EHPAD LA ROSE DES VENTS</v>
      </c>
      <c r="C3998" t="s">
        <v>65</v>
      </c>
    </row>
    <row r="3999" spans="1:3" x14ac:dyDescent="0.25">
      <c r="A3999" t="str">
        <f>"560002347"</f>
        <v>560002347</v>
      </c>
      <c r="B3999" t="str">
        <f>"MAISON D'ACCUEIL DU GRAND JARDIN"</f>
        <v>MAISON D'ACCUEIL DU GRAND JARDIN</v>
      </c>
      <c r="C3999" t="s">
        <v>65</v>
      </c>
    </row>
    <row r="4000" spans="1:3" x14ac:dyDescent="0.25">
      <c r="A4000" t="str">
        <f>"560002354"</f>
        <v>560002354</v>
      </c>
      <c r="B4000" t="str">
        <f>"EHPAD PIERRE DE FRANCHEVILLE"</f>
        <v>EHPAD PIERRE DE FRANCHEVILLE</v>
      </c>
      <c r="C4000" t="s">
        <v>65</v>
      </c>
    </row>
    <row r="4001" spans="1:3" x14ac:dyDescent="0.25">
      <c r="A4001" t="str">
        <f>"560002362"</f>
        <v>560002362</v>
      </c>
      <c r="B4001" t="str">
        <f>"RESIDENCE LE LAURIER VERT"</f>
        <v>RESIDENCE LE LAURIER VERT</v>
      </c>
      <c r="C4001" t="s">
        <v>65</v>
      </c>
    </row>
    <row r="4002" spans="1:3" x14ac:dyDescent="0.25">
      <c r="A4002" t="str">
        <f>"560002370"</f>
        <v>560002370</v>
      </c>
      <c r="B4002" t="str">
        <f>"MAISON DE RETRAITE LES AJONCS D'OR"</f>
        <v>MAISON DE RETRAITE LES AJONCS D'OR</v>
      </c>
      <c r="C4002" t="s">
        <v>65</v>
      </c>
    </row>
    <row r="4003" spans="1:3" x14ac:dyDescent="0.25">
      <c r="A4003" t="str">
        <f>"560002388"</f>
        <v>560002388</v>
      </c>
      <c r="B4003" t="str">
        <f>"EHPAD VILLAGE DU PORHOET"</f>
        <v>EHPAD VILLAGE DU PORHOET</v>
      </c>
      <c r="C4003" t="s">
        <v>65</v>
      </c>
    </row>
    <row r="4004" spans="1:3" x14ac:dyDescent="0.25">
      <c r="A4004" t="str">
        <f>"560002396"</f>
        <v>560002396</v>
      </c>
      <c r="B4004" t="str">
        <f>"EHPAD GUER"</f>
        <v>EHPAD GUER</v>
      </c>
      <c r="C4004" t="s">
        <v>65</v>
      </c>
    </row>
    <row r="4005" spans="1:3" x14ac:dyDescent="0.25">
      <c r="A4005" t="str">
        <f>"560003626"</f>
        <v>560003626</v>
      </c>
      <c r="B4005" t="str">
        <f>"RESIDENCES MAREVA LES OREADES"</f>
        <v>RESIDENCES MAREVA LES OREADES</v>
      </c>
      <c r="C4005" t="s">
        <v>65</v>
      </c>
    </row>
    <row r="4006" spans="1:3" x14ac:dyDescent="0.25">
      <c r="A4006" t="str">
        <f>"560003634"</f>
        <v>560003634</v>
      </c>
      <c r="B4006" t="str">
        <f>"RESIDENCES MAREVA LES NYMPHEAS"</f>
        <v>RESIDENCES MAREVA LES NYMPHEAS</v>
      </c>
      <c r="C4006" t="s">
        <v>65</v>
      </c>
    </row>
    <row r="4007" spans="1:3" x14ac:dyDescent="0.25">
      <c r="A4007" t="str">
        <f>"560003915"</f>
        <v>560003915</v>
      </c>
      <c r="B4007" t="str">
        <f>"MAPA RESIDENCE DES FONTAINES"</f>
        <v>MAPA RESIDENCE DES FONTAINES</v>
      </c>
      <c r="C4007" t="s">
        <v>65</v>
      </c>
    </row>
    <row r="4008" spans="1:3" x14ac:dyDescent="0.25">
      <c r="A4008" t="str">
        <f>"560003931"</f>
        <v>560003931</v>
      </c>
      <c r="B4008" t="str">
        <f>"RESIDENCE LA LORIENTINE"</f>
        <v>RESIDENCE LA LORIENTINE</v>
      </c>
      <c r="C4008" t="s">
        <v>65</v>
      </c>
    </row>
    <row r="4009" spans="1:3" x14ac:dyDescent="0.25">
      <c r="A4009" t="str">
        <f>"560004202"</f>
        <v>560004202</v>
      </c>
      <c r="B4009" t="str">
        <f>"MAISON D'ACCUEIL ANGELIQUE LE SOURD"</f>
        <v>MAISON D'ACCUEIL ANGELIQUE LE SOURD</v>
      </c>
      <c r="C4009" t="s">
        <v>65</v>
      </c>
    </row>
    <row r="4010" spans="1:3" x14ac:dyDescent="0.25">
      <c r="A4010" t="str">
        <f>"560004368"</f>
        <v>560004368</v>
      </c>
      <c r="B4010" t="str">
        <f>"EHPAD KER LAOUEN"</f>
        <v>EHPAD KER LAOUEN</v>
      </c>
      <c r="C4010" t="s">
        <v>65</v>
      </c>
    </row>
    <row r="4011" spans="1:3" x14ac:dyDescent="0.25">
      <c r="A4011" t="str">
        <f>"560004756"</f>
        <v>560004756</v>
      </c>
      <c r="B4011" t="str">
        <f>"RESIDENCE SABINE DE NANTEUIL"</f>
        <v>RESIDENCE SABINE DE NANTEUIL</v>
      </c>
      <c r="C4011" t="s">
        <v>65</v>
      </c>
    </row>
    <row r="4012" spans="1:3" x14ac:dyDescent="0.25">
      <c r="A4012" t="str">
        <f>"560004772"</f>
        <v>560004772</v>
      </c>
      <c r="B4012" t="str">
        <f>"GHBS EHPAD LA COLLINE"</f>
        <v>GHBS EHPAD LA COLLINE</v>
      </c>
      <c r="C4012" t="s">
        <v>65</v>
      </c>
    </row>
    <row r="4013" spans="1:3" x14ac:dyDescent="0.25">
      <c r="A4013" t="str">
        <f>"560004798"</f>
        <v>560004798</v>
      </c>
      <c r="B4013" t="str">
        <f>"CHCB SITE EHPAD PONTIVY"</f>
        <v>CHCB SITE EHPAD PONTIVY</v>
      </c>
      <c r="C4013" t="s">
        <v>65</v>
      </c>
    </row>
    <row r="4014" spans="1:3" x14ac:dyDescent="0.25">
      <c r="A4014" t="str">
        <f>"560004863"</f>
        <v>560004863</v>
      </c>
      <c r="B4014" t="str">
        <f>"RESIDENCE LOUIS ONORATI"</f>
        <v>RESIDENCE LOUIS ONORATI</v>
      </c>
      <c r="C4014" t="s">
        <v>65</v>
      </c>
    </row>
    <row r="4015" spans="1:3" x14ac:dyDescent="0.25">
      <c r="A4015" t="str">
        <f>"560004905"</f>
        <v>560004905</v>
      </c>
      <c r="B4015" t="str">
        <f>"RESIDENCE DE LANVAUX"</f>
        <v>RESIDENCE DE LANVAUX</v>
      </c>
      <c r="C4015" t="s">
        <v>65</v>
      </c>
    </row>
    <row r="4016" spans="1:3" x14ac:dyDescent="0.25">
      <c r="A4016" t="str">
        <f>"560004921"</f>
        <v>560004921</v>
      </c>
      <c r="B4016" t="str">
        <f>"EHPAD TY LAOUEN"</f>
        <v>EHPAD TY LAOUEN</v>
      </c>
      <c r="C4016" t="s">
        <v>65</v>
      </c>
    </row>
    <row r="4017" spans="1:3" x14ac:dyDescent="0.25">
      <c r="A4017" t="str">
        <f>"560004939"</f>
        <v>560004939</v>
      </c>
      <c r="B4017" t="str">
        <f>"RESIDENCE LES BLES D'OR"</f>
        <v>RESIDENCE LES BLES D'OR</v>
      </c>
      <c r="C4017" t="s">
        <v>65</v>
      </c>
    </row>
    <row r="4018" spans="1:3" x14ac:dyDescent="0.25">
      <c r="A4018" t="str">
        <f>"560004947"</f>
        <v>560004947</v>
      </c>
      <c r="B4018" t="str">
        <f>"EHPAD RESIDENCE STER GLAZ"</f>
        <v>EHPAD RESIDENCE STER GLAZ</v>
      </c>
      <c r="C4018" t="s">
        <v>65</v>
      </c>
    </row>
    <row r="4019" spans="1:3" x14ac:dyDescent="0.25">
      <c r="A4019" t="str">
        <f>"560004988"</f>
        <v>560004988</v>
      </c>
      <c r="B4019" t="str">
        <f>"RESIDENCE LE GLOUAHEC"</f>
        <v>RESIDENCE LE GLOUAHEC</v>
      </c>
      <c r="C4019" t="s">
        <v>65</v>
      </c>
    </row>
    <row r="4020" spans="1:3" x14ac:dyDescent="0.25">
      <c r="A4020" t="str">
        <f>"560005027"</f>
        <v>560005027</v>
      </c>
      <c r="B4020" t="str">
        <f>"EHPAD LA MAISON DES TAMARIS"</f>
        <v>EHPAD LA MAISON DES TAMARIS</v>
      </c>
      <c r="C4020" t="s">
        <v>65</v>
      </c>
    </row>
    <row r="4021" spans="1:3" x14ac:dyDescent="0.25">
      <c r="A4021" t="str">
        <f>"560005118"</f>
        <v>560005118</v>
      </c>
      <c r="B4021" t="str">
        <f>"RESIDENCE LA METAIRIE"</f>
        <v>RESIDENCE LA METAIRIE</v>
      </c>
      <c r="C4021" t="s">
        <v>65</v>
      </c>
    </row>
    <row r="4022" spans="1:3" x14ac:dyDescent="0.25">
      <c r="A4022" t="str">
        <f>"560005159"</f>
        <v>560005159</v>
      </c>
      <c r="B4022" t="str">
        <f>"RESIDENCE ST ANTOINE"</f>
        <v>RESIDENCE ST ANTOINE</v>
      </c>
      <c r="C4022" t="s">
        <v>65</v>
      </c>
    </row>
    <row r="4023" spans="1:3" x14ac:dyDescent="0.25">
      <c r="A4023" t="str">
        <f>"560005175"</f>
        <v>560005175</v>
      </c>
      <c r="B4023" t="str">
        <f>"RESIDENCE PASCOT"</f>
        <v>RESIDENCE PASCOT</v>
      </c>
      <c r="C4023" t="s">
        <v>65</v>
      </c>
    </row>
    <row r="4024" spans="1:3" x14ac:dyDescent="0.25">
      <c r="A4024" t="str">
        <f>"560005191"</f>
        <v>560005191</v>
      </c>
      <c r="B4024" t="str">
        <f>"RESIDENCE LES DEUX ROCHES"</f>
        <v>RESIDENCE LES DEUX ROCHES</v>
      </c>
      <c r="C4024" t="s">
        <v>65</v>
      </c>
    </row>
    <row r="4025" spans="1:3" x14ac:dyDescent="0.25">
      <c r="A4025" t="str">
        <f>"560005472"</f>
        <v>560005472</v>
      </c>
      <c r="B4025" t="str">
        <f>"EHPAD LANN EOL"</f>
        <v>EHPAD LANN EOL</v>
      </c>
      <c r="C4025" t="s">
        <v>65</v>
      </c>
    </row>
    <row r="4026" spans="1:3" x14ac:dyDescent="0.25">
      <c r="A4026" t="str">
        <f>"560005613"</f>
        <v>560005613</v>
      </c>
      <c r="B4026" t="str">
        <f>"MAISON DE RETRAITE"</f>
        <v>MAISON DE RETRAITE</v>
      </c>
      <c r="C4026" t="s">
        <v>65</v>
      </c>
    </row>
    <row r="4027" spans="1:3" x14ac:dyDescent="0.25">
      <c r="A4027" t="str">
        <f>"560006488"</f>
        <v>560006488</v>
      </c>
      <c r="B4027" t="str">
        <f>"RESIDENCE LE COUTALLER"</f>
        <v>RESIDENCE LE COUTALLER</v>
      </c>
      <c r="C4027" t="s">
        <v>65</v>
      </c>
    </row>
    <row r="4028" spans="1:3" x14ac:dyDescent="0.25">
      <c r="A4028" t="str">
        <f>"560006520"</f>
        <v>560006520</v>
      </c>
      <c r="B4028" t="str">
        <f>"EHPAD AU FIL DU TEMPS"</f>
        <v>EHPAD AU FIL DU TEMPS</v>
      </c>
      <c r="C4028" t="s">
        <v>65</v>
      </c>
    </row>
    <row r="4029" spans="1:3" x14ac:dyDescent="0.25">
      <c r="A4029" t="str">
        <f>"560006553"</f>
        <v>560006553</v>
      </c>
      <c r="B4029" t="str">
        <f>"RESIDENCE TREMER"</f>
        <v>RESIDENCE TREMER</v>
      </c>
      <c r="C4029" t="s">
        <v>65</v>
      </c>
    </row>
    <row r="4030" spans="1:3" x14ac:dyDescent="0.25">
      <c r="A4030" t="str">
        <f>"560006678"</f>
        <v>560006678</v>
      </c>
      <c r="B4030" t="str">
        <f>"MAISON DE RETRAITE CH PLOERMEL"</f>
        <v>MAISON DE RETRAITE CH PLOERMEL</v>
      </c>
      <c r="C4030" t="s">
        <v>65</v>
      </c>
    </row>
    <row r="4031" spans="1:3" x14ac:dyDescent="0.25">
      <c r="A4031" t="str">
        <f>"560006702"</f>
        <v>560006702</v>
      </c>
      <c r="B4031" t="str">
        <f>"EHPAD YVES LANCO"</f>
        <v>EHPAD YVES LANCO</v>
      </c>
      <c r="C4031" t="s">
        <v>65</v>
      </c>
    </row>
    <row r="4032" spans="1:3" x14ac:dyDescent="0.25">
      <c r="A4032" t="str">
        <f>"560006710"</f>
        <v>560006710</v>
      </c>
      <c r="B4032" t="str">
        <f>"GHBS EHPAD LE FAOUET"</f>
        <v>GHBS EHPAD LE FAOUET</v>
      </c>
      <c r="C4032" t="s">
        <v>65</v>
      </c>
    </row>
    <row r="4033" spans="1:3" x14ac:dyDescent="0.25">
      <c r="A4033" t="str">
        <f>"560006736"</f>
        <v>560006736</v>
      </c>
      <c r="B4033" t="str">
        <f>"EHPAD CH DE BASSE VILAINE"</f>
        <v>EHPAD CH DE BASSE VILAINE</v>
      </c>
      <c r="C4033" t="s">
        <v>65</v>
      </c>
    </row>
    <row r="4034" spans="1:3" x14ac:dyDescent="0.25">
      <c r="A4034" t="str">
        <f>"560006751"</f>
        <v>560006751</v>
      </c>
      <c r="B4034" t="str">
        <f>"MAISON DE RETRAITE"</f>
        <v>MAISON DE RETRAITE</v>
      </c>
      <c r="C4034" t="s">
        <v>65</v>
      </c>
    </row>
    <row r="4035" spans="1:3" x14ac:dyDescent="0.25">
      <c r="A4035" t="str">
        <f>"560006777"</f>
        <v>560006777</v>
      </c>
      <c r="B4035" t="str">
        <f>"EHPAD CH REDON SITE CARENTOIR"</f>
        <v>EHPAD CH REDON SITE CARENTOIR</v>
      </c>
      <c r="C4035" t="s">
        <v>65</v>
      </c>
    </row>
    <row r="4036" spans="1:3" x14ac:dyDescent="0.25">
      <c r="A4036" t="str">
        <f>"560006819"</f>
        <v>560006819</v>
      </c>
      <c r="B4036" t="str">
        <f>"RESIDENCE LE MAREGO"</f>
        <v>RESIDENCE LE MAREGO</v>
      </c>
      <c r="C4036" t="s">
        <v>65</v>
      </c>
    </row>
    <row r="4037" spans="1:3" x14ac:dyDescent="0.25">
      <c r="A4037" t="str">
        <f>"560006835"</f>
        <v>560006835</v>
      </c>
      <c r="B4037" t="str">
        <f>"RESIDENCE LE BELVEDERE"</f>
        <v>RESIDENCE LE BELVEDERE</v>
      </c>
      <c r="C4037" t="s">
        <v>65</v>
      </c>
    </row>
    <row r="4038" spans="1:3" x14ac:dyDescent="0.25">
      <c r="A4038" t="str">
        <f>"560006876"</f>
        <v>560006876</v>
      </c>
      <c r="B4038" t="str">
        <f>"RESIDENCE PEN ER PRAT"</f>
        <v>RESIDENCE PEN ER PRAT</v>
      </c>
      <c r="C4038" t="s">
        <v>65</v>
      </c>
    </row>
    <row r="4039" spans="1:3" x14ac:dyDescent="0.25">
      <c r="A4039" t="str">
        <f>"560007536"</f>
        <v>560007536</v>
      </c>
      <c r="B4039" t="str">
        <f>"RESIDENCE BELLE ETOILE"</f>
        <v>RESIDENCE BELLE ETOILE</v>
      </c>
      <c r="C4039" t="s">
        <v>65</v>
      </c>
    </row>
    <row r="4040" spans="1:3" x14ac:dyDescent="0.25">
      <c r="A4040" t="str">
        <f>"560008849"</f>
        <v>560008849</v>
      </c>
      <c r="B4040" t="str">
        <f>"MAISON DE RETRAITE KERIOLET"</f>
        <v>MAISON DE RETRAITE KERIOLET</v>
      </c>
      <c r="C4040" t="s">
        <v>65</v>
      </c>
    </row>
    <row r="4041" spans="1:3" x14ac:dyDescent="0.25">
      <c r="A4041" t="str">
        <f>"560009219"</f>
        <v>560009219</v>
      </c>
      <c r="B4041" t="str">
        <f>"EHPAD LA VILLA TOHANNIC"</f>
        <v>EHPAD LA VILLA TOHANNIC</v>
      </c>
      <c r="C4041" t="s">
        <v>65</v>
      </c>
    </row>
    <row r="4042" spans="1:3" x14ac:dyDescent="0.25">
      <c r="A4042" t="str">
        <f>"560009250"</f>
        <v>560009250</v>
      </c>
      <c r="B4042" t="str">
        <f>"RESIDENCE DE PORH-KER"</f>
        <v>RESIDENCE DE PORH-KER</v>
      </c>
      <c r="C4042" t="s">
        <v>65</v>
      </c>
    </row>
    <row r="4043" spans="1:3" x14ac:dyDescent="0.25">
      <c r="A4043" t="str">
        <f>"560009425"</f>
        <v>560009425</v>
      </c>
      <c r="B4043" t="str">
        <f>"RESIDENCE LOUIS ROPERT"</f>
        <v>RESIDENCE LOUIS ROPERT</v>
      </c>
      <c r="C4043" t="s">
        <v>65</v>
      </c>
    </row>
    <row r="4044" spans="1:3" x14ac:dyDescent="0.25">
      <c r="A4044" t="str">
        <f>"560009565"</f>
        <v>560009565</v>
      </c>
      <c r="B4044" t="str">
        <f>"RESIDENCE KERNETH"</f>
        <v>RESIDENCE KERNETH</v>
      </c>
      <c r="C4044" t="s">
        <v>65</v>
      </c>
    </row>
    <row r="4045" spans="1:3" x14ac:dyDescent="0.25">
      <c r="A4045" t="str">
        <f>"560009573"</f>
        <v>560009573</v>
      </c>
      <c r="B4045" t="str">
        <f>"RESIDENCE LIOT"</f>
        <v>RESIDENCE LIOT</v>
      </c>
      <c r="C4045" t="s">
        <v>65</v>
      </c>
    </row>
    <row r="4046" spans="1:3" x14ac:dyDescent="0.25">
      <c r="A4046" t="str">
        <f>"560009581"</f>
        <v>560009581</v>
      </c>
      <c r="B4046" t="str">
        <f>"RESIDENCE EDILYS"</f>
        <v>RESIDENCE EDILYS</v>
      </c>
      <c r="C4046" t="s">
        <v>65</v>
      </c>
    </row>
    <row r="4047" spans="1:3" x14ac:dyDescent="0.25">
      <c r="A4047" t="str">
        <f>"560009649"</f>
        <v>560009649</v>
      </c>
      <c r="B4047" t="str">
        <f>"RESIDENCES MAREVA LE PARC DU CARMEL"</f>
        <v>RESIDENCES MAREVA LE PARC DU CARMEL</v>
      </c>
      <c r="C4047" t="s">
        <v>65</v>
      </c>
    </row>
    <row r="4048" spans="1:3" x14ac:dyDescent="0.25">
      <c r="A4048" t="str">
        <f>"560009664"</f>
        <v>560009664</v>
      </c>
      <c r="B4048" t="str">
        <f>"RESIDENCE DU MIDI"</f>
        <v>RESIDENCE DU MIDI</v>
      </c>
      <c r="C4048" t="s">
        <v>65</v>
      </c>
    </row>
    <row r="4049" spans="1:3" x14ac:dyDescent="0.25">
      <c r="A4049" t="str">
        <f>"560009722"</f>
        <v>560009722</v>
      </c>
      <c r="B4049" t="str">
        <f>"RESIDENCE ROUSSADOU"</f>
        <v>RESIDENCE ROUSSADOU</v>
      </c>
      <c r="C4049" t="s">
        <v>65</v>
      </c>
    </row>
    <row r="4050" spans="1:3" x14ac:dyDescent="0.25">
      <c r="A4050" t="str">
        <f>"560009904"</f>
        <v>560009904</v>
      </c>
      <c r="B4050" t="str">
        <f>"EHPAD RESIDENCE DU PARC"</f>
        <v>EHPAD RESIDENCE DU PARC</v>
      </c>
      <c r="C4050" t="s">
        <v>65</v>
      </c>
    </row>
    <row r="4051" spans="1:3" x14ac:dyDescent="0.25">
      <c r="A4051" t="str">
        <f>"560010084"</f>
        <v>560010084</v>
      </c>
      <c r="B4051" t="str">
        <f>"RESIDENCE LEON VINET"</f>
        <v>RESIDENCE LEON VINET</v>
      </c>
      <c r="C4051" t="s">
        <v>65</v>
      </c>
    </row>
    <row r="4052" spans="1:3" x14ac:dyDescent="0.25">
      <c r="A4052" t="str">
        <f>"560010548"</f>
        <v>560010548</v>
      </c>
      <c r="B4052" t="str">
        <f>"EHPAD LES OCEANIDES"</f>
        <v>EHPAD LES OCEANIDES</v>
      </c>
      <c r="C4052" t="s">
        <v>65</v>
      </c>
    </row>
    <row r="4053" spans="1:3" x14ac:dyDescent="0.25">
      <c r="A4053" t="str">
        <f>"560011694"</f>
        <v>560011694</v>
      </c>
      <c r="B4053" t="str">
        <f>"MAPA DE LA RIGOLE D'HILVERN"</f>
        <v>MAPA DE LA RIGOLE D'HILVERN</v>
      </c>
      <c r="C4053" t="s">
        <v>65</v>
      </c>
    </row>
    <row r="4054" spans="1:3" x14ac:dyDescent="0.25">
      <c r="A4054" t="str">
        <f>"560011728"</f>
        <v>560011728</v>
      </c>
      <c r="B4054" t="str">
        <f>"MAISON SAINTE FAMILLE"</f>
        <v>MAISON SAINTE FAMILLE</v>
      </c>
      <c r="C4054" t="s">
        <v>65</v>
      </c>
    </row>
    <row r="4055" spans="1:3" x14ac:dyDescent="0.25">
      <c r="A4055" t="str">
        <f>"560011769"</f>
        <v>560011769</v>
      </c>
      <c r="B4055" t="str">
        <f>"MAPA EMMANUEL BONO"</f>
        <v>MAPA EMMANUEL BONO</v>
      </c>
      <c r="C4055" t="s">
        <v>65</v>
      </c>
    </row>
    <row r="4056" spans="1:3" x14ac:dyDescent="0.25">
      <c r="A4056" t="str">
        <f>"560011777"</f>
        <v>560011777</v>
      </c>
      <c r="B4056" t="str">
        <f>"RESIDENCE PIERRE MEHA"</f>
        <v>RESIDENCE PIERRE MEHA</v>
      </c>
      <c r="C4056" t="s">
        <v>65</v>
      </c>
    </row>
    <row r="4057" spans="1:3" x14ac:dyDescent="0.25">
      <c r="A4057" t="str">
        <f>"560011785"</f>
        <v>560011785</v>
      </c>
      <c r="B4057" t="str">
        <f>"RESIDENCE L'HESPERIE"</f>
        <v>RESIDENCE L'HESPERIE</v>
      </c>
      <c r="C4057" t="s">
        <v>65</v>
      </c>
    </row>
    <row r="4058" spans="1:3" x14ac:dyDescent="0.25">
      <c r="A4058" t="str">
        <f>"560011801"</f>
        <v>560011801</v>
      </c>
      <c r="B4058" t="str">
        <f>"MAISON SAINTE MARIE"</f>
        <v>MAISON SAINTE MARIE</v>
      </c>
      <c r="C4058" t="s">
        <v>65</v>
      </c>
    </row>
    <row r="4059" spans="1:3" x14ac:dyDescent="0.25">
      <c r="A4059" t="str">
        <f>"560011819"</f>
        <v>560011819</v>
      </c>
      <c r="B4059" t="str">
        <f>"MAISON DE RETRAITE ORPEA"</f>
        <v>MAISON DE RETRAITE ORPEA</v>
      </c>
      <c r="C4059" t="s">
        <v>65</v>
      </c>
    </row>
    <row r="4060" spans="1:3" x14ac:dyDescent="0.25">
      <c r="A4060" t="str">
        <f>"560011835"</f>
        <v>560011835</v>
      </c>
      <c r="B4060" t="str">
        <f>"RESIDENCE DE KER PEHEFF"</f>
        <v>RESIDENCE DE KER PEHEFF</v>
      </c>
      <c r="C4060" t="s">
        <v>65</v>
      </c>
    </row>
    <row r="4061" spans="1:3" x14ac:dyDescent="0.25">
      <c r="A4061" t="str">
        <f>"560011850"</f>
        <v>560011850</v>
      </c>
      <c r="B4061" t="str">
        <f>"RESIDENCE SAINT DOMINIQUE"</f>
        <v>RESIDENCE SAINT DOMINIQUE</v>
      </c>
      <c r="C4061" t="s">
        <v>65</v>
      </c>
    </row>
    <row r="4062" spans="1:3" x14ac:dyDescent="0.25">
      <c r="A4062" t="str">
        <f>"560011876"</f>
        <v>560011876</v>
      </c>
      <c r="B4062" t="str">
        <f>"RESIDENCE DE L'OUST"</f>
        <v>RESIDENCE DE L'OUST</v>
      </c>
      <c r="C4062" t="s">
        <v>65</v>
      </c>
    </row>
    <row r="4063" spans="1:3" x14ac:dyDescent="0.25">
      <c r="A4063" t="str">
        <f>"560012148"</f>
        <v>560012148</v>
      </c>
      <c r="B4063" t="str">
        <f>"RESIDENCE DE L'ARGOAT"</f>
        <v>RESIDENCE DE L'ARGOAT</v>
      </c>
      <c r="C4063" t="s">
        <v>65</v>
      </c>
    </row>
    <row r="4064" spans="1:3" x14ac:dyDescent="0.25">
      <c r="A4064" t="str">
        <f>"560012189"</f>
        <v>560012189</v>
      </c>
      <c r="B4064" t="str">
        <f>"RESIDENCE DE LA SARRE"</f>
        <v>RESIDENCE DE LA SARRE</v>
      </c>
      <c r="C4064" t="s">
        <v>65</v>
      </c>
    </row>
    <row r="4065" spans="1:3" x14ac:dyDescent="0.25">
      <c r="A4065" t="str">
        <f>"560012213"</f>
        <v>560012213</v>
      </c>
      <c r="B4065" t="str">
        <f>"KORIAN LES DEUX MERS"</f>
        <v>KORIAN LES DEUX MERS</v>
      </c>
      <c r="C4065" t="s">
        <v>65</v>
      </c>
    </row>
    <row r="4066" spans="1:3" x14ac:dyDescent="0.25">
      <c r="A4066" t="str">
        <f>"560012239"</f>
        <v>560012239</v>
      </c>
      <c r="B4066" t="str">
        <f>"RESIDENCE ANNE DE BRETAGNE"</f>
        <v>RESIDENCE ANNE DE BRETAGNE</v>
      </c>
      <c r="C4066" t="s">
        <v>65</v>
      </c>
    </row>
    <row r="4067" spans="1:3" x14ac:dyDescent="0.25">
      <c r="A4067" t="str">
        <f>"560012247"</f>
        <v>560012247</v>
      </c>
      <c r="B4067" t="str">
        <f>"RESIDENCE SAINT MAURICE"</f>
        <v>RESIDENCE SAINT MAURICE</v>
      </c>
      <c r="C4067" t="s">
        <v>65</v>
      </c>
    </row>
    <row r="4068" spans="1:3" x14ac:dyDescent="0.25">
      <c r="A4068" t="str">
        <f>"560012270"</f>
        <v>560012270</v>
      </c>
      <c r="B4068" t="str">
        <f>"RESIDENCE DES AJONCS"</f>
        <v>RESIDENCE DES AJONCS</v>
      </c>
      <c r="C4068" t="s">
        <v>65</v>
      </c>
    </row>
    <row r="4069" spans="1:3" x14ac:dyDescent="0.25">
      <c r="A4069" t="str">
        <f>"560012288"</f>
        <v>560012288</v>
      </c>
      <c r="B4069" t="str">
        <f>"RESIDENCE KANDELYS"</f>
        <v>RESIDENCE KANDELYS</v>
      </c>
      <c r="C4069" t="s">
        <v>65</v>
      </c>
    </row>
    <row r="4070" spans="1:3" x14ac:dyDescent="0.25">
      <c r="A4070" t="str">
        <f>"560012304"</f>
        <v>560012304</v>
      </c>
      <c r="B4070" t="str">
        <f>"RESIDENCE EDILYS"</f>
        <v>RESIDENCE EDILYS</v>
      </c>
      <c r="C4070" t="s">
        <v>65</v>
      </c>
    </row>
    <row r="4071" spans="1:3" x14ac:dyDescent="0.25">
      <c r="A4071" t="str">
        <f>"560012346"</f>
        <v>560012346</v>
      </c>
      <c r="B4071" t="str">
        <f>"RESIDENCE PLAISANCE"</f>
        <v>RESIDENCE PLAISANCE</v>
      </c>
      <c r="C4071" t="s">
        <v>65</v>
      </c>
    </row>
    <row r="4072" spans="1:3" x14ac:dyDescent="0.25">
      <c r="A4072" t="str">
        <f>"560015372"</f>
        <v>560015372</v>
      </c>
      <c r="B4072" t="str">
        <f>"EHPAD ROZ AVEL"</f>
        <v>EHPAD ROZ AVEL</v>
      </c>
      <c r="C4072" t="s">
        <v>65</v>
      </c>
    </row>
    <row r="4073" spans="1:3" x14ac:dyDescent="0.25">
      <c r="A4073" t="str">
        <f>"560015406"</f>
        <v>560015406</v>
      </c>
      <c r="B4073" t="str">
        <f>"RESIDENCE DE L'ETANG"</f>
        <v>RESIDENCE DE L'ETANG</v>
      </c>
      <c r="C4073" t="s">
        <v>65</v>
      </c>
    </row>
    <row r="4074" spans="1:3" x14ac:dyDescent="0.25">
      <c r="A4074" t="str">
        <f>"560015414"</f>
        <v>560015414</v>
      </c>
      <c r="B4074" t="str">
        <f>"RESIDENCE DU LAC"</f>
        <v>RESIDENCE DU LAC</v>
      </c>
      <c r="C4074" t="s">
        <v>65</v>
      </c>
    </row>
    <row r="4075" spans="1:3" x14ac:dyDescent="0.25">
      <c r="A4075" t="str">
        <f>"560015919"</f>
        <v>560015919</v>
      </c>
      <c r="B4075" t="str">
        <f>"RESIDENCE KERELYS"</f>
        <v>RESIDENCE KERELYS</v>
      </c>
      <c r="C4075" t="s">
        <v>65</v>
      </c>
    </row>
    <row r="4076" spans="1:3" x14ac:dyDescent="0.25">
      <c r="A4076" t="str">
        <f>"560016008"</f>
        <v>560016008</v>
      </c>
      <c r="B4076" t="str">
        <f>"RESIDENCE MAREVA PARC ER VOR"</f>
        <v>RESIDENCE MAREVA PARC ER VOR</v>
      </c>
      <c r="C4076" t="s">
        <v>65</v>
      </c>
    </row>
    <row r="4077" spans="1:3" x14ac:dyDescent="0.25">
      <c r="A4077" t="str">
        <f>"560017899"</f>
        <v>560017899</v>
      </c>
      <c r="B4077" t="str">
        <f>"RESIDENCE LA CHESNAIE"</f>
        <v>RESIDENCE LA CHESNAIE</v>
      </c>
      <c r="C4077" t="s">
        <v>65</v>
      </c>
    </row>
    <row r="4078" spans="1:3" x14ac:dyDescent="0.25">
      <c r="A4078" t="str">
        <f>"560017949"</f>
        <v>560017949</v>
      </c>
      <c r="B4078" t="str">
        <f>"RESIDENCE KERELYS"</f>
        <v>RESIDENCE KERELYS</v>
      </c>
      <c r="C4078" t="s">
        <v>65</v>
      </c>
    </row>
    <row r="4079" spans="1:3" x14ac:dyDescent="0.25">
      <c r="A4079" t="str">
        <f>"560018608"</f>
        <v>560018608</v>
      </c>
      <c r="B4079" t="str">
        <f>"RESIDENCE KERELYS"</f>
        <v>RESIDENCE KERELYS</v>
      </c>
      <c r="C4079" t="s">
        <v>65</v>
      </c>
    </row>
    <row r="4080" spans="1:3" x14ac:dyDescent="0.25">
      <c r="A4080" t="str">
        <f>"560019069"</f>
        <v>560019069</v>
      </c>
      <c r="B4080" t="str">
        <f>"RESIDENCE BEAUPRE LALANDE"</f>
        <v>RESIDENCE BEAUPRE LALANDE</v>
      </c>
      <c r="C4080" t="s">
        <v>65</v>
      </c>
    </row>
    <row r="4081" spans="1:3" x14ac:dyDescent="0.25">
      <c r="A4081" t="str">
        <f>"560019119"</f>
        <v>560019119</v>
      </c>
      <c r="B4081" t="str">
        <f>"RESIDENCE TAL AR MOR"</f>
        <v>RESIDENCE TAL AR MOR</v>
      </c>
      <c r="C4081" t="s">
        <v>65</v>
      </c>
    </row>
    <row r="4082" spans="1:3" x14ac:dyDescent="0.25">
      <c r="A4082" t="str">
        <f>"560019218"</f>
        <v>560019218</v>
      </c>
      <c r="B4082" t="str">
        <f>"EHPAD LA SAGESSE"</f>
        <v>EHPAD LA SAGESSE</v>
      </c>
      <c r="C4082" t="s">
        <v>65</v>
      </c>
    </row>
    <row r="4083" spans="1:3" x14ac:dyDescent="0.25">
      <c r="A4083" t="str">
        <f>"560021479"</f>
        <v>560021479</v>
      </c>
      <c r="B4083" t="str">
        <f>"RESIDENCE LES HERMINES"</f>
        <v>RESIDENCE LES HERMINES</v>
      </c>
      <c r="C4083" t="s">
        <v>65</v>
      </c>
    </row>
    <row r="4084" spans="1:3" x14ac:dyDescent="0.25">
      <c r="A4084" t="str">
        <f>"560022170"</f>
        <v>560022170</v>
      </c>
      <c r="B4084" t="str">
        <f>"RESIDENCE KERLOUDAN"</f>
        <v>RESIDENCE KERLOUDAN</v>
      </c>
      <c r="C4084" t="s">
        <v>65</v>
      </c>
    </row>
    <row r="4085" spans="1:3" x14ac:dyDescent="0.25">
      <c r="A4085" t="str">
        <f>"560023186"</f>
        <v>560023186</v>
      </c>
      <c r="B4085" t="str">
        <f>"RESIDENCE PERSONNES AGEES LE DIVIT"</f>
        <v>RESIDENCE PERSONNES AGEES LE DIVIT</v>
      </c>
      <c r="C4085" t="s">
        <v>65</v>
      </c>
    </row>
    <row r="4086" spans="1:3" x14ac:dyDescent="0.25">
      <c r="A4086" t="str">
        <f>"560023384"</f>
        <v>560023384</v>
      </c>
      <c r="B4086" t="str">
        <f>"RESIDENCE KERELYS"</f>
        <v>RESIDENCE KERELYS</v>
      </c>
      <c r="C4086" t="s">
        <v>65</v>
      </c>
    </row>
    <row r="4087" spans="1:3" x14ac:dyDescent="0.25">
      <c r="A4087" t="str">
        <f>"560023988"</f>
        <v>560023988</v>
      </c>
      <c r="B4087" t="str">
        <f>"MAISON DE RETRAITE KERVENANEC"</f>
        <v>MAISON DE RETRAITE KERVENANEC</v>
      </c>
      <c r="C4087" t="s">
        <v>65</v>
      </c>
    </row>
    <row r="4088" spans="1:3" x14ac:dyDescent="0.25">
      <c r="A4088" t="str">
        <f>"560024036"</f>
        <v>560024036</v>
      </c>
      <c r="B4088" t="str">
        <f>"EHPAD BARR HEOL"</f>
        <v>EHPAD BARR HEOL</v>
      </c>
      <c r="C4088" t="s">
        <v>65</v>
      </c>
    </row>
    <row r="4089" spans="1:3" x14ac:dyDescent="0.25">
      <c r="A4089" t="str">
        <f>"560024549"</f>
        <v>560024549</v>
      </c>
      <c r="B4089" t="str">
        <f>"GHBS EHPAD KERBERNES"</f>
        <v>GHBS EHPAD KERBERNES</v>
      </c>
      <c r="C4089" t="s">
        <v>65</v>
      </c>
    </row>
    <row r="4090" spans="1:3" x14ac:dyDescent="0.25">
      <c r="A4090" t="str">
        <f>"560024556"</f>
        <v>560024556</v>
      </c>
      <c r="B4090" t="str">
        <f>"GHBS EHPAD KERLIVIO"</f>
        <v>GHBS EHPAD KERLIVIO</v>
      </c>
      <c r="C4090" t="s">
        <v>65</v>
      </c>
    </row>
    <row r="4091" spans="1:3" x14ac:dyDescent="0.25">
      <c r="A4091" t="str">
        <f>"560024606"</f>
        <v>560024606</v>
      </c>
      <c r="B4091" t="str">
        <f>"RESIDENCE ARC-EN-CIEL"</f>
        <v>RESIDENCE ARC-EN-CIEL</v>
      </c>
      <c r="C4091" t="s">
        <v>65</v>
      </c>
    </row>
    <row r="4092" spans="1:3" x14ac:dyDescent="0.25">
      <c r="A4092" t="str">
        <f>"560024648"</f>
        <v>560024648</v>
      </c>
      <c r="B4092" t="str">
        <f>"MAISON DE RETRAITE PRATEL IZEL"</f>
        <v>MAISON DE RETRAITE PRATEL IZEL</v>
      </c>
      <c r="C4092" t="s">
        <v>65</v>
      </c>
    </row>
    <row r="4093" spans="1:3" x14ac:dyDescent="0.25">
      <c r="A4093" t="str">
        <f>"560024655"</f>
        <v>560024655</v>
      </c>
      <c r="B4093" t="str">
        <f>"MAISON DE RETRAITE  DE KERLEANO"</f>
        <v>MAISON DE RETRAITE  DE KERLEANO</v>
      </c>
      <c r="C4093" t="s">
        <v>65</v>
      </c>
    </row>
    <row r="4094" spans="1:3" x14ac:dyDescent="0.25">
      <c r="A4094" t="str">
        <f>"560024663"</f>
        <v>560024663</v>
      </c>
      <c r="B4094" t="str">
        <f>"MAISON DE RETRAITE LES MAISONS DU LAC"</f>
        <v>MAISON DE RETRAITE LES MAISONS DU LAC</v>
      </c>
      <c r="C4094" t="s">
        <v>65</v>
      </c>
    </row>
    <row r="4095" spans="1:3" x14ac:dyDescent="0.25">
      <c r="A4095" t="str">
        <f>"560024788"</f>
        <v>560024788</v>
      </c>
      <c r="B4095" t="str">
        <f>"RESIDENCE KERELYS"</f>
        <v>RESIDENCE KERELYS</v>
      </c>
      <c r="C4095" t="s">
        <v>65</v>
      </c>
    </row>
    <row r="4096" spans="1:3" x14ac:dyDescent="0.25">
      <c r="A4096" t="str">
        <f>"560024838"</f>
        <v>560024838</v>
      </c>
      <c r="B4096" t="str">
        <f>"MAISON  D'ACCUEIL DE LA MARE"</f>
        <v>MAISON  D'ACCUEIL DE LA MARE</v>
      </c>
      <c r="C4096" t="s">
        <v>65</v>
      </c>
    </row>
    <row r="4097" spans="1:3" x14ac:dyDescent="0.25">
      <c r="A4097" t="str">
        <f>"560024887"</f>
        <v>560024887</v>
      </c>
      <c r="B4097" t="str">
        <f>"RESIDENCE TER  ET MER"</f>
        <v>RESIDENCE TER  ET MER</v>
      </c>
      <c r="C4097" t="s">
        <v>65</v>
      </c>
    </row>
    <row r="4098" spans="1:3" x14ac:dyDescent="0.25">
      <c r="A4098" t="str">
        <f>"560024986"</f>
        <v>560024986</v>
      </c>
      <c r="B4098" t="str">
        <f>"RESIDENCE KERELYS"</f>
        <v>RESIDENCE KERELYS</v>
      </c>
      <c r="C4098" t="s">
        <v>65</v>
      </c>
    </row>
    <row r="4099" spans="1:3" x14ac:dyDescent="0.25">
      <c r="A4099" t="str">
        <f>"560025520"</f>
        <v>560025520</v>
      </c>
      <c r="B4099" t="str">
        <f>"EHPAD VIRGINIE DANION"</f>
        <v>EHPAD VIRGINIE DANION</v>
      </c>
      <c r="C4099" t="s">
        <v>65</v>
      </c>
    </row>
    <row r="4100" spans="1:3" x14ac:dyDescent="0.25">
      <c r="A4100" t="str">
        <f>"560025645"</f>
        <v>560025645</v>
      </c>
      <c r="B4100" t="str">
        <f>"RESIDENCE KERELYS"</f>
        <v>RESIDENCE KERELYS</v>
      </c>
      <c r="C4100" t="s">
        <v>65</v>
      </c>
    </row>
    <row r="4101" spans="1:3" x14ac:dyDescent="0.25">
      <c r="A4101" t="str">
        <f>"560025660"</f>
        <v>560025660</v>
      </c>
      <c r="B4101" t="str">
        <f>"RESIDENCE DES ORMES"</f>
        <v>RESIDENCE DES ORMES</v>
      </c>
      <c r="C4101" t="s">
        <v>65</v>
      </c>
    </row>
    <row r="4102" spans="1:3" x14ac:dyDescent="0.25">
      <c r="A4102" t="str">
        <f>"560025686"</f>
        <v>560025686</v>
      </c>
      <c r="B4102" t="str">
        <f>"GHBS EHPAD KERDURAND"</f>
        <v>GHBS EHPAD KERDURAND</v>
      </c>
      <c r="C4102" t="s">
        <v>65</v>
      </c>
    </row>
    <row r="4103" spans="1:3" x14ac:dyDescent="0.25">
      <c r="A4103" t="str">
        <f>"560025694"</f>
        <v>560025694</v>
      </c>
      <c r="B4103" t="str">
        <f>"RESIDENCE LES COULEURS DU TEMPS"</f>
        <v>RESIDENCE LES COULEURS DU TEMPS</v>
      </c>
      <c r="C4103" t="s">
        <v>65</v>
      </c>
    </row>
    <row r="4104" spans="1:3" x14ac:dyDescent="0.25">
      <c r="A4104" t="str">
        <f>"560025892"</f>
        <v>560025892</v>
      </c>
      <c r="B4104" t="str">
        <f>"RESIDENCE LES DUNES"</f>
        <v>RESIDENCE LES DUNES</v>
      </c>
      <c r="C4104" t="s">
        <v>65</v>
      </c>
    </row>
    <row r="4105" spans="1:3" x14ac:dyDescent="0.25">
      <c r="A4105" t="str">
        <f>"560026395"</f>
        <v>560026395</v>
      </c>
      <c r="B4105" t="str">
        <f>"EHPAD LA VILLA OCEANE"</f>
        <v>EHPAD LA VILLA OCEANE</v>
      </c>
      <c r="C4105" t="s">
        <v>65</v>
      </c>
    </row>
    <row r="4106" spans="1:3" x14ac:dyDescent="0.25">
      <c r="A4106" t="str">
        <f>"560030223"</f>
        <v>560030223</v>
      </c>
      <c r="B4106" t="str">
        <f>"EHPAD LES PINS"</f>
        <v>EHPAD LES PINS</v>
      </c>
      <c r="C4106" t="s">
        <v>65</v>
      </c>
    </row>
    <row r="4107" spans="1:3" x14ac:dyDescent="0.25">
      <c r="A4107" t="str">
        <f>"570000463"</f>
        <v>570000463</v>
      </c>
      <c r="B4107" t="str">
        <f>"EHPAD 'LES CHENES'"</f>
        <v>EHPAD 'LES CHENES'</v>
      </c>
      <c r="C4107" t="s">
        <v>62</v>
      </c>
    </row>
    <row r="4108" spans="1:3" x14ac:dyDescent="0.25">
      <c r="A4108" t="str">
        <f>"570000802"</f>
        <v>570000802</v>
      </c>
      <c r="B4108" t="str">
        <f>"EHPAD 'STE MARIE'"</f>
        <v>EHPAD 'STE MARIE'</v>
      </c>
      <c r="C4108" t="s">
        <v>62</v>
      </c>
    </row>
    <row r="4109" spans="1:3" x14ac:dyDescent="0.25">
      <c r="A4109" t="str">
        <f>"570000927"</f>
        <v>570000927</v>
      </c>
      <c r="B4109" t="str">
        <f>"EHPAD 'SAINT JOSEPH'"</f>
        <v>EHPAD 'SAINT JOSEPH'</v>
      </c>
      <c r="C4109" t="s">
        <v>62</v>
      </c>
    </row>
    <row r="4110" spans="1:3" x14ac:dyDescent="0.25">
      <c r="A4110" t="str">
        <f>"570001032"</f>
        <v>570001032</v>
      </c>
      <c r="B4110" t="str">
        <f>"EHPAD 'STE CROIX'"</f>
        <v>EHPAD 'STE CROIX'</v>
      </c>
      <c r="C4110" t="s">
        <v>62</v>
      </c>
    </row>
    <row r="4111" spans="1:3" x14ac:dyDescent="0.25">
      <c r="A4111" t="str">
        <f>"570001107"</f>
        <v>570001107</v>
      </c>
      <c r="B4111" t="str">
        <f>"EHPAD 'LA VACQUINIERE'"</f>
        <v>EHPAD 'LA VACQUINIERE'</v>
      </c>
      <c r="C4111" t="s">
        <v>62</v>
      </c>
    </row>
    <row r="4112" spans="1:3" x14ac:dyDescent="0.25">
      <c r="A4112" t="str">
        <f>"570002048"</f>
        <v>570002048</v>
      </c>
      <c r="B4112" t="str">
        <f>"EHPAD 'SAINTE ANNE'"</f>
        <v>EHPAD 'SAINTE ANNE'</v>
      </c>
      <c r="C4112" t="s">
        <v>62</v>
      </c>
    </row>
    <row r="4113" spans="1:3" x14ac:dyDescent="0.25">
      <c r="A4113" t="str">
        <f>"570002063"</f>
        <v>570002063</v>
      </c>
      <c r="B4113" t="str">
        <f>"EHPAD 'LE HOME ISRAELITE'"</f>
        <v>EHPAD 'LE HOME ISRAELITE'</v>
      </c>
      <c r="C4113" t="s">
        <v>62</v>
      </c>
    </row>
    <row r="4114" spans="1:3" x14ac:dyDescent="0.25">
      <c r="A4114" t="str">
        <f>"570002071"</f>
        <v>570002071</v>
      </c>
      <c r="B4114" t="str">
        <f>"EHPAD 'HOME DES 4 SAISONS'"</f>
        <v>EHPAD 'HOME DES 4 SAISONS'</v>
      </c>
      <c r="C4114" t="s">
        <v>62</v>
      </c>
    </row>
    <row r="4115" spans="1:3" x14ac:dyDescent="0.25">
      <c r="A4115" t="str">
        <f>"570002089"</f>
        <v>570002089</v>
      </c>
      <c r="B4115" t="str">
        <f>"EHPAD 'ST PAULIN' ST EPVRE"</f>
        <v>EHPAD 'ST PAULIN' ST EPVRE</v>
      </c>
      <c r="C4115" t="s">
        <v>62</v>
      </c>
    </row>
    <row r="4116" spans="1:3" x14ac:dyDescent="0.25">
      <c r="A4116" t="str">
        <f>"570002097"</f>
        <v>570002097</v>
      </c>
      <c r="B4116" t="str">
        <f>"EHPAD 'SANS SOUCI' DE CREUTZWALD"</f>
        <v>EHPAD 'SANS SOUCI' DE CREUTZWALD</v>
      </c>
      <c r="C4116" t="s">
        <v>62</v>
      </c>
    </row>
    <row r="4117" spans="1:3" x14ac:dyDescent="0.25">
      <c r="A4117" t="str">
        <f>"570002105"</f>
        <v>570002105</v>
      </c>
      <c r="B4117" t="str">
        <f>"EHPAD 'STE ELISABETH'"</f>
        <v>EHPAD 'STE ELISABETH'</v>
      </c>
      <c r="C4117" t="s">
        <v>62</v>
      </c>
    </row>
    <row r="4118" spans="1:3" x14ac:dyDescent="0.25">
      <c r="A4118" t="str">
        <f>"570002311"</f>
        <v>570002311</v>
      </c>
      <c r="B4118" t="str">
        <f>"EHPAD 'SAINTE VERONIQUE'"</f>
        <v>EHPAD 'SAINTE VERONIQUE'</v>
      </c>
      <c r="C4118" t="s">
        <v>62</v>
      </c>
    </row>
    <row r="4119" spans="1:3" x14ac:dyDescent="0.25">
      <c r="A4119" t="str">
        <f>"570002600"</f>
        <v>570002600</v>
      </c>
      <c r="B4119" t="str">
        <f>"EHPAD 'SAINT DOMINIQUE'"</f>
        <v>EHPAD 'SAINT DOMINIQUE'</v>
      </c>
      <c r="C4119" t="s">
        <v>62</v>
      </c>
    </row>
    <row r="4120" spans="1:3" x14ac:dyDescent="0.25">
      <c r="A4120" t="str">
        <f>"570003418"</f>
        <v>570003418</v>
      </c>
      <c r="B4120" t="str">
        <f>"EHPAD 'LES MIRABELLIERS'"</f>
        <v>EHPAD 'LES MIRABELLIERS'</v>
      </c>
      <c r="C4120" t="s">
        <v>62</v>
      </c>
    </row>
    <row r="4121" spans="1:3" x14ac:dyDescent="0.25">
      <c r="A4121" t="str">
        <f>"570003459"</f>
        <v>570003459</v>
      </c>
      <c r="B4121" t="str">
        <f>"EHPAD 'LES CERISIERS'"</f>
        <v>EHPAD 'LES CERISIERS'</v>
      </c>
      <c r="C4121" t="s">
        <v>62</v>
      </c>
    </row>
    <row r="4122" spans="1:3" x14ac:dyDescent="0.25">
      <c r="A4122" t="str">
        <f>"570003509"</f>
        <v>570003509</v>
      </c>
      <c r="B4122" t="str">
        <f>"EHPAD 'ALICE SAR'"</f>
        <v>EHPAD 'ALICE SAR'</v>
      </c>
      <c r="C4122" t="s">
        <v>62</v>
      </c>
    </row>
    <row r="4123" spans="1:3" x14ac:dyDescent="0.25">
      <c r="A4123" t="str">
        <f>"570003749"</f>
        <v>570003749</v>
      </c>
      <c r="B4123" t="str">
        <f>"EHPAD 'LES ALISIERS'"</f>
        <v>EHPAD 'LES ALISIERS'</v>
      </c>
      <c r="C4123" t="s">
        <v>62</v>
      </c>
    </row>
    <row r="4124" spans="1:3" x14ac:dyDescent="0.25">
      <c r="A4124" t="str">
        <f>"570004200"</f>
        <v>570004200</v>
      </c>
      <c r="B4124" t="str">
        <f>"EHPAD 'RAVIDA BRICE'"</f>
        <v>EHPAD 'RAVIDA BRICE'</v>
      </c>
      <c r="C4124" t="s">
        <v>62</v>
      </c>
    </row>
    <row r="4125" spans="1:3" x14ac:dyDescent="0.25">
      <c r="A4125" t="str">
        <f>"570004234"</f>
        <v>570004234</v>
      </c>
      <c r="B4125" t="str">
        <f>"EHPAD 'JARDINS ST JACQUES' DE DIEUZE"</f>
        <v>EHPAD 'JARDINS ST JACQUES' DE DIEUZE</v>
      </c>
      <c r="C4125" t="s">
        <v>62</v>
      </c>
    </row>
    <row r="4126" spans="1:3" x14ac:dyDescent="0.25">
      <c r="A4126" t="str">
        <f>"570004283"</f>
        <v>570004283</v>
      </c>
      <c r="B4126" t="str">
        <f>"EHPAD 'RESIDENCE A L OREE DU BOIS'"</f>
        <v>EHPAD 'RESIDENCE A L OREE DU BOIS'</v>
      </c>
      <c r="C4126" t="s">
        <v>62</v>
      </c>
    </row>
    <row r="4127" spans="1:3" x14ac:dyDescent="0.25">
      <c r="A4127" t="str">
        <f>"570004291"</f>
        <v>570004291</v>
      </c>
      <c r="B4127" t="str">
        <f>"EHPAD 'ST VINCENT'"</f>
        <v>EHPAD 'ST VINCENT'</v>
      </c>
      <c r="C4127" t="s">
        <v>62</v>
      </c>
    </row>
    <row r="4128" spans="1:3" x14ac:dyDescent="0.25">
      <c r="A4128" t="str">
        <f>"570004317"</f>
        <v>570004317</v>
      </c>
      <c r="B4128" t="str">
        <f>"EHPAD 'LE DOMAINE DE BELLETANCHE'"</f>
        <v>EHPAD 'LE DOMAINE DE BELLETANCHE'</v>
      </c>
      <c r="C4128" t="s">
        <v>62</v>
      </c>
    </row>
    <row r="4129" spans="1:3" x14ac:dyDescent="0.25">
      <c r="A4129" t="str">
        <f>"570004333"</f>
        <v>570004333</v>
      </c>
      <c r="B4129" t="str">
        <f>"EHPAD 'MA MAISON' P SOEURS DES PAUVRES"</f>
        <v>EHPAD 'MA MAISON' P SOEURS DES PAUVRES</v>
      </c>
      <c r="C4129" t="s">
        <v>62</v>
      </c>
    </row>
    <row r="4130" spans="1:3" x14ac:dyDescent="0.25">
      <c r="A4130" t="str">
        <f>"570004341"</f>
        <v>570004341</v>
      </c>
      <c r="B4130" t="str">
        <f>"EHPAD 'LES CEDRES'"</f>
        <v>EHPAD 'LES CEDRES'</v>
      </c>
      <c r="C4130" t="s">
        <v>62</v>
      </c>
    </row>
    <row r="4131" spans="1:3" x14ac:dyDescent="0.25">
      <c r="A4131" t="str">
        <f>"570004366"</f>
        <v>570004366</v>
      </c>
      <c r="B4131" t="str">
        <f>"EHPAD 'LA SAINTE FAMILLE'"</f>
        <v>EHPAD 'LA SAINTE FAMILLE'</v>
      </c>
      <c r="C4131" t="s">
        <v>62</v>
      </c>
    </row>
    <row r="4132" spans="1:3" x14ac:dyDescent="0.25">
      <c r="A4132" t="str">
        <f>"570004374"</f>
        <v>570004374</v>
      </c>
      <c r="B4132" t="str">
        <f>"EHPAD 'HOME PREVILLE'"</f>
        <v>EHPAD 'HOME PREVILLE'</v>
      </c>
      <c r="C4132" t="s">
        <v>62</v>
      </c>
    </row>
    <row r="4133" spans="1:3" x14ac:dyDescent="0.25">
      <c r="A4133" t="str">
        <f>"570004382"</f>
        <v>570004382</v>
      </c>
      <c r="B4133" t="str">
        <f>"EHPAD 'STE MARIE'"</f>
        <v>EHPAD 'STE MARIE'</v>
      </c>
      <c r="C4133" t="s">
        <v>62</v>
      </c>
    </row>
    <row r="4134" spans="1:3" x14ac:dyDescent="0.25">
      <c r="A4134" t="str">
        <f>"570004390"</f>
        <v>570004390</v>
      </c>
      <c r="B4134" t="str">
        <f>"EHPAD 'LES OLIVIERS'"</f>
        <v>EHPAD 'LES OLIVIERS'</v>
      </c>
      <c r="C4134" t="s">
        <v>62</v>
      </c>
    </row>
    <row r="4135" spans="1:3" x14ac:dyDescent="0.25">
      <c r="A4135" t="str">
        <f>"570004408"</f>
        <v>570004408</v>
      </c>
      <c r="B4135" t="str">
        <f>"EHPAD 'SAINT JOSEPH'"</f>
        <v>EHPAD 'SAINT JOSEPH'</v>
      </c>
      <c r="C4135" t="s">
        <v>62</v>
      </c>
    </row>
    <row r="4136" spans="1:3" x14ac:dyDescent="0.25">
      <c r="A4136" t="str">
        <f>"570004416"</f>
        <v>570004416</v>
      </c>
      <c r="B4136" t="str">
        <f>"EHPAD 'NOTRE DAME DU BLAUBERG'"</f>
        <v>EHPAD 'NOTRE DAME DU BLAUBERG'</v>
      </c>
      <c r="C4136" t="s">
        <v>62</v>
      </c>
    </row>
    <row r="4137" spans="1:3" x14ac:dyDescent="0.25">
      <c r="A4137" t="str">
        <f>"570004424"</f>
        <v>570004424</v>
      </c>
      <c r="B4137" t="str">
        <f>"EHPAD 'SAINTE MADELEINE'"</f>
        <v>EHPAD 'SAINTE MADELEINE'</v>
      </c>
      <c r="C4137" t="s">
        <v>62</v>
      </c>
    </row>
    <row r="4138" spans="1:3" x14ac:dyDescent="0.25">
      <c r="A4138" t="str">
        <f>"570004457"</f>
        <v>570004457</v>
      </c>
      <c r="B4138" t="str">
        <f>"EHPAD 'LES HIRONDELLES'"</f>
        <v>EHPAD 'LES HIRONDELLES'</v>
      </c>
      <c r="C4138" t="s">
        <v>62</v>
      </c>
    </row>
    <row r="4139" spans="1:3" x14ac:dyDescent="0.25">
      <c r="A4139" t="str">
        <f>"570004663"</f>
        <v>570004663</v>
      </c>
      <c r="B4139" t="str">
        <f>"EHPAD'SAINT CHRISTOPHE'"</f>
        <v>EHPAD'SAINT CHRISTOPHE'</v>
      </c>
      <c r="C4139" t="s">
        <v>62</v>
      </c>
    </row>
    <row r="4140" spans="1:3" x14ac:dyDescent="0.25">
      <c r="A4140" t="str">
        <f>"570005157"</f>
        <v>570005157</v>
      </c>
      <c r="B4140" t="str">
        <f>"EHPAD 'HOME DE LA PROVIDENCE'"</f>
        <v>EHPAD 'HOME DE LA PROVIDENCE'</v>
      </c>
      <c r="C4140" t="s">
        <v>62</v>
      </c>
    </row>
    <row r="4141" spans="1:3" x14ac:dyDescent="0.25">
      <c r="A4141" t="str">
        <f>"570009787"</f>
        <v>570009787</v>
      </c>
      <c r="B4141" t="str">
        <f>"EHPAD 'LES MYOSOTIS'"</f>
        <v>EHPAD 'LES MYOSOTIS'</v>
      </c>
      <c r="C4141" t="s">
        <v>62</v>
      </c>
    </row>
    <row r="4142" spans="1:3" x14ac:dyDescent="0.25">
      <c r="A4142" t="str">
        <f>"570009993"</f>
        <v>570009993</v>
      </c>
      <c r="B4142" t="str">
        <f>"EHPAD 'LA CHARMILLE'"</f>
        <v>EHPAD 'LA CHARMILLE'</v>
      </c>
      <c r="C4142" t="s">
        <v>62</v>
      </c>
    </row>
    <row r="4143" spans="1:3" x14ac:dyDescent="0.25">
      <c r="A4143" t="str">
        <f>"570010009"</f>
        <v>570010009</v>
      </c>
      <c r="B4143" t="str">
        <f>"RESIDENCE ALBERT SCHWEITZER"</f>
        <v>RESIDENCE ALBERT SCHWEITZER</v>
      </c>
      <c r="C4143" t="s">
        <v>62</v>
      </c>
    </row>
    <row r="4144" spans="1:3" x14ac:dyDescent="0.25">
      <c r="A4144" t="str">
        <f>"570011171"</f>
        <v>570011171</v>
      </c>
      <c r="B4144" t="str">
        <f>"EHPAD 'LES LILAS BLANCS'"</f>
        <v>EHPAD 'LES LILAS BLANCS'</v>
      </c>
      <c r="C4144" t="s">
        <v>62</v>
      </c>
    </row>
    <row r="4145" spans="1:3" x14ac:dyDescent="0.25">
      <c r="A4145" t="str">
        <f>"570011700"</f>
        <v>570011700</v>
      </c>
      <c r="B4145" t="str">
        <f>"EHPAD 'ST JOSEPH'"</f>
        <v>EHPAD 'ST JOSEPH'</v>
      </c>
      <c r="C4145" t="s">
        <v>62</v>
      </c>
    </row>
    <row r="4146" spans="1:3" x14ac:dyDescent="0.25">
      <c r="A4146" t="str">
        <f>"570011734"</f>
        <v>570011734</v>
      </c>
      <c r="B4146" t="str">
        <f>"EHPAD 'RESIDENCE LE PARC'"</f>
        <v>EHPAD 'RESIDENCE LE PARC'</v>
      </c>
      <c r="C4146" t="s">
        <v>62</v>
      </c>
    </row>
    <row r="4147" spans="1:3" x14ac:dyDescent="0.25">
      <c r="A4147" t="str">
        <f>"570011742"</f>
        <v>570011742</v>
      </c>
      <c r="B4147" t="str">
        <f>"EHPAD 'RESIDENCE ST JEAN' METZ"</f>
        <v>EHPAD 'RESIDENCE ST JEAN' METZ</v>
      </c>
      <c r="C4147" t="s">
        <v>62</v>
      </c>
    </row>
    <row r="4148" spans="1:3" x14ac:dyDescent="0.25">
      <c r="A4148" t="str">
        <f>"570012047"</f>
        <v>570012047</v>
      </c>
      <c r="B4148" t="str">
        <f>"EHPAD 'LES OPALINES '"</f>
        <v>EHPAD 'LES OPALINES '</v>
      </c>
      <c r="C4148" t="s">
        <v>62</v>
      </c>
    </row>
    <row r="4149" spans="1:3" x14ac:dyDescent="0.25">
      <c r="A4149" t="str">
        <f>"570012690"</f>
        <v>570012690</v>
      </c>
      <c r="B4149" t="str">
        <f>"M.A.P.A.D. 'ANGEL FILIPPETTI'"</f>
        <v>M.A.P.A.D. 'ANGEL FILIPPETTI'</v>
      </c>
      <c r="C4149" t="s">
        <v>62</v>
      </c>
    </row>
    <row r="4150" spans="1:3" x14ac:dyDescent="0.25">
      <c r="A4150" t="str">
        <f>"570012716"</f>
        <v>570012716</v>
      </c>
      <c r="B4150" t="str">
        <f>"MAPA RESIDENCE DE DITSCHVILLER"</f>
        <v>MAPA RESIDENCE DE DITSCHVILLER</v>
      </c>
      <c r="C4150" t="s">
        <v>62</v>
      </c>
    </row>
    <row r="4151" spans="1:3" x14ac:dyDescent="0.25">
      <c r="A4151" t="str">
        <f>"570012724"</f>
        <v>570012724</v>
      </c>
      <c r="B4151" t="str">
        <f>"EHPAD 'PIERRE MENDES FRANCE'"</f>
        <v>EHPAD 'PIERRE MENDES FRANCE'</v>
      </c>
      <c r="C4151" t="s">
        <v>62</v>
      </c>
    </row>
    <row r="4152" spans="1:3" x14ac:dyDescent="0.25">
      <c r="A4152" t="str">
        <f>"570012732"</f>
        <v>570012732</v>
      </c>
      <c r="B4152" t="str">
        <f>"EHPAD 'LE VAL FLEURI'"</f>
        <v>EHPAD 'LE VAL FLEURI'</v>
      </c>
      <c r="C4152" t="s">
        <v>62</v>
      </c>
    </row>
    <row r="4153" spans="1:3" x14ac:dyDescent="0.25">
      <c r="A4153" t="str">
        <f>"570012781"</f>
        <v>570012781</v>
      </c>
      <c r="B4153" t="str">
        <f>"EHPAD 'L'ATRE DU VAL DE FENSCH'"</f>
        <v>EHPAD 'L'ATRE DU VAL DE FENSCH'</v>
      </c>
      <c r="C4153" t="s">
        <v>62</v>
      </c>
    </row>
    <row r="4154" spans="1:3" x14ac:dyDescent="0.25">
      <c r="A4154" t="str">
        <f>"570013078"</f>
        <v>570013078</v>
      </c>
      <c r="B4154" t="str">
        <f>"EHPAD 'LES CHARMES'"</f>
        <v>EHPAD 'LES CHARMES'</v>
      </c>
      <c r="C4154" t="s">
        <v>62</v>
      </c>
    </row>
    <row r="4155" spans="1:3" x14ac:dyDescent="0.25">
      <c r="A4155" t="str">
        <f>"570013102"</f>
        <v>570013102</v>
      </c>
      <c r="B4155" t="str">
        <f>"EHPAD 'LES ACACIAS'"</f>
        <v>EHPAD 'LES ACACIAS'</v>
      </c>
      <c r="C4155" t="s">
        <v>62</v>
      </c>
    </row>
    <row r="4156" spans="1:3" x14ac:dyDescent="0.25">
      <c r="A4156" t="str">
        <f>"570013128"</f>
        <v>570013128</v>
      </c>
      <c r="B4156" t="str">
        <f>"EHPAD  'PIERRE HERMENT'"</f>
        <v>EHPAD  'PIERRE HERMENT'</v>
      </c>
      <c r="C4156" t="s">
        <v>62</v>
      </c>
    </row>
    <row r="4157" spans="1:3" x14ac:dyDescent="0.25">
      <c r="A4157" t="str">
        <f>"570013144"</f>
        <v>570013144</v>
      </c>
      <c r="B4157" t="str">
        <f>"EHPAD 'LA GRANGE AUX BOIS'"</f>
        <v>EHPAD 'LA GRANGE AUX BOIS'</v>
      </c>
      <c r="C4157" t="s">
        <v>62</v>
      </c>
    </row>
    <row r="4158" spans="1:3" x14ac:dyDescent="0.25">
      <c r="A4158" t="str">
        <f>"570013151"</f>
        <v>570013151</v>
      </c>
      <c r="B4158" t="str">
        <f>"EHPAD ' SAINT JOSEPH'"</f>
        <v>EHPAD ' SAINT JOSEPH'</v>
      </c>
      <c r="C4158" t="s">
        <v>62</v>
      </c>
    </row>
    <row r="4159" spans="1:3" x14ac:dyDescent="0.25">
      <c r="A4159" t="str">
        <f>"570013565"</f>
        <v>570013565</v>
      </c>
      <c r="B4159" t="str">
        <f>"MAISON DE CLERVANT"</f>
        <v>MAISON DE CLERVANT</v>
      </c>
      <c r="C4159" t="s">
        <v>62</v>
      </c>
    </row>
    <row r="4160" spans="1:3" x14ac:dyDescent="0.25">
      <c r="A4160" t="str">
        <f>"570013656"</f>
        <v>570013656</v>
      </c>
      <c r="B4160" t="str">
        <f>"EHPAD 'LES PEUPLIERS'"</f>
        <v>EHPAD 'LES PEUPLIERS'</v>
      </c>
      <c r="C4160" t="s">
        <v>62</v>
      </c>
    </row>
    <row r="4161" spans="1:3" x14ac:dyDescent="0.25">
      <c r="A4161" t="str">
        <f>"570013680"</f>
        <v>570013680</v>
      </c>
      <c r="B4161" t="str">
        <f>"EHPAD 'P. MORLANNE' - METZ"</f>
        <v>EHPAD 'P. MORLANNE' - METZ</v>
      </c>
      <c r="C4161" t="s">
        <v>62</v>
      </c>
    </row>
    <row r="4162" spans="1:3" x14ac:dyDescent="0.25">
      <c r="A4162" t="str">
        <f>"570013714"</f>
        <v>570013714</v>
      </c>
      <c r="B4162" t="str">
        <f>"EHPAD 'LE TOURNEBRIDE'"</f>
        <v>EHPAD 'LE TOURNEBRIDE'</v>
      </c>
      <c r="C4162" t="s">
        <v>62</v>
      </c>
    </row>
    <row r="4163" spans="1:3" x14ac:dyDescent="0.25">
      <c r="A4163" t="str">
        <f>"570013771"</f>
        <v>570013771</v>
      </c>
      <c r="B4163" t="str">
        <f>"EHPAD 'RESIDENCE HEUREUSE'"</f>
        <v>EHPAD 'RESIDENCE HEUREUSE'</v>
      </c>
      <c r="C4163" t="s">
        <v>62</v>
      </c>
    </row>
    <row r="4164" spans="1:3" x14ac:dyDescent="0.25">
      <c r="A4164" t="str">
        <f>"570013789"</f>
        <v>570013789</v>
      </c>
      <c r="B4164" t="str">
        <f>"EHPAD 'SAINTE CHRETIENNE'."</f>
        <v>EHPAD 'SAINTE CHRETIENNE'.</v>
      </c>
      <c r="C4164" t="s">
        <v>62</v>
      </c>
    </row>
    <row r="4165" spans="1:3" x14ac:dyDescent="0.25">
      <c r="A4165" t="str">
        <f>"570014126"</f>
        <v>570014126</v>
      </c>
      <c r="B4165" t="str">
        <f>"EHPAD 'RESIDENCE DU PARC'"</f>
        <v>EHPAD 'RESIDENCE DU PARC'</v>
      </c>
      <c r="C4165" t="s">
        <v>62</v>
      </c>
    </row>
    <row r="4166" spans="1:3" x14ac:dyDescent="0.25">
      <c r="A4166" t="str">
        <f>"570014159"</f>
        <v>570014159</v>
      </c>
      <c r="B4166" t="str">
        <f>"EHPAD 'LE VAL DE SEILLE'"</f>
        <v>EHPAD 'LE VAL DE SEILLE'</v>
      </c>
      <c r="C4166" t="s">
        <v>62</v>
      </c>
    </row>
    <row r="4167" spans="1:3" x14ac:dyDescent="0.25">
      <c r="A4167" t="str">
        <f>"570014381"</f>
        <v>570014381</v>
      </c>
      <c r="B4167" t="str">
        <f>"EHPAD 'LE HETRE POURPRE'"</f>
        <v>EHPAD 'LE HETRE POURPRE'</v>
      </c>
      <c r="C4167" t="s">
        <v>62</v>
      </c>
    </row>
    <row r="4168" spans="1:3" x14ac:dyDescent="0.25">
      <c r="A4168" t="str">
        <f>"570014399"</f>
        <v>570014399</v>
      </c>
      <c r="B4168" t="str">
        <f>"EHPAD 'LES JARDINS'"</f>
        <v>EHPAD 'LES JARDINS'</v>
      </c>
      <c r="C4168" t="s">
        <v>62</v>
      </c>
    </row>
    <row r="4169" spans="1:3" x14ac:dyDescent="0.25">
      <c r="A4169" t="str">
        <f>"570014605"</f>
        <v>570014605</v>
      </c>
      <c r="B4169" t="str">
        <f>"EHPAD 'LES TILLEULS'"</f>
        <v>EHPAD 'LES TILLEULS'</v>
      </c>
      <c r="C4169" t="s">
        <v>62</v>
      </c>
    </row>
    <row r="4170" spans="1:3" x14ac:dyDescent="0.25">
      <c r="A4170" t="str">
        <f>"570014639"</f>
        <v>570014639</v>
      </c>
      <c r="B4170" t="str">
        <f>"EHPAD' LES PLATANES'"</f>
        <v>EHPAD' LES PLATANES'</v>
      </c>
      <c r="C4170" t="s">
        <v>62</v>
      </c>
    </row>
    <row r="4171" spans="1:3" x14ac:dyDescent="0.25">
      <c r="A4171" t="str">
        <f>"570014696"</f>
        <v>570014696</v>
      </c>
      <c r="B4171" t="str">
        <f>"EHPAD 'MARIE-NOELLE'"</f>
        <v>EHPAD 'MARIE-NOELLE'</v>
      </c>
      <c r="C4171" t="s">
        <v>62</v>
      </c>
    </row>
    <row r="4172" spans="1:3" x14ac:dyDescent="0.25">
      <c r="A4172" t="str">
        <f>"570014712"</f>
        <v>570014712</v>
      </c>
      <c r="B4172" t="str">
        <f>"EHPAD 'LES GLYCINES'"</f>
        <v>EHPAD 'LES GLYCINES'</v>
      </c>
      <c r="C4172" t="s">
        <v>62</v>
      </c>
    </row>
    <row r="4173" spans="1:3" x14ac:dyDescent="0.25">
      <c r="A4173" t="str">
        <f>"570014837"</f>
        <v>570014837</v>
      </c>
      <c r="B4173" t="str">
        <f>"EHPAD 'RESIDENCE D'AUTOMNE'"</f>
        <v>EHPAD 'RESIDENCE D'AUTOMNE'</v>
      </c>
      <c r="C4173" t="s">
        <v>62</v>
      </c>
    </row>
    <row r="4174" spans="1:3" x14ac:dyDescent="0.25">
      <c r="A4174" t="str">
        <f>"570014845"</f>
        <v>570014845</v>
      </c>
      <c r="B4174" t="str">
        <f>"EHPAD 'ST JEAN BAPTISTE'"</f>
        <v>EHPAD 'ST JEAN BAPTISTE'</v>
      </c>
      <c r="C4174" t="s">
        <v>62</v>
      </c>
    </row>
    <row r="4175" spans="1:3" x14ac:dyDescent="0.25">
      <c r="A4175" t="str">
        <f>"570014852"</f>
        <v>570014852</v>
      </c>
      <c r="B4175" t="str">
        <f>"EHPAD 'LES ERABLES'"</f>
        <v>EHPAD 'LES ERABLES'</v>
      </c>
      <c r="C4175" t="s">
        <v>62</v>
      </c>
    </row>
    <row r="4176" spans="1:3" x14ac:dyDescent="0.25">
      <c r="A4176" t="str">
        <f>"570014886"</f>
        <v>570014886</v>
      </c>
      <c r="B4176" t="str">
        <f>"EHPAD 'DES PRES DE SAINT PIERRE'"</f>
        <v>EHPAD 'DES PRES DE SAINT PIERRE'</v>
      </c>
      <c r="C4176" t="s">
        <v>62</v>
      </c>
    </row>
    <row r="4177" spans="1:3" x14ac:dyDescent="0.25">
      <c r="A4177" t="str">
        <f>"570015073"</f>
        <v>570015073</v>
      </c>
      <c r="B4177" t="str">
        <f>"EHPAD 'LE BELVEDERE'"</f>
        <v>EHPAD 'LE BELVEDERE'</v>
      </c>
      <c r="C4177" t="s">
        <v>62</v>
      </c>
    </row>
    <row r="4178" spans="1:3" x14ac:dyDescent="0.25">
      <c r="A4178" t="str">
        <f>"570015198"</f>
        <v>570015198</v>
      </c>
      <c r="B4178" t="str">
        <f>"EHPAD 'LES SAULES'"</f>
        <v>EHPAD 'LES SAULES'</v>
      </c>
      <c r="C4178" t="s">
        <v>62</v>
      </c>
    </row>
    <row r="4179" spans="1:3" x14ac:dyDescent="0.25">
      <c r="A4179" t="str">
        <f>"570015297"</f>
        <v>570015297</v>
      </c>
      <c r="B4179" t="str">
        <f>"EHPAD 'LA SOURCE DU BREUIL'"</f>
        <v>EHPAD 'LA SOURCE DU BREUIL'</v>
      </c>
      <c r="C4179" t="s">
        <v>62</v>
      </c>
    </row>
    <row r="4180" spans="1:3" x14ac:dyDescent="0.25">
      <c r="A4180" t="str">
        <f>"570015438"</f>
        <v>570015438</v>
      </c>
      <c r="B4180" t="str">
        <f>"EHPAD 'LE PRE VERT'"</f>
        <v>EHPAD 'LE PRE VERT'</v>
      </c>
      <c r="C4180" t="s">
        <v>62</v>
      </c>
    </row>
    <row r="4181" spans="1:3" x14ac:dyDescent="0.25">
      <c r="A4181" t="str">
        <f>"570015453"</f>
        <v>570015453</v>
      </c>
      <c r="B4181" t="str">
        <f>"EHPAD 'LES CHATAIGNIERS'"</f>
        <v>EHPAD 'LES CHATAIGNIERS'</v>
      </c>
      <c r="C4181" t="s">
        <v>62</v>
      </c>
    </row>
    <row r="4182" spans="1:3" x14ac:dyDescent="0.25">
      <c r="A4182" t="str">
        <f>"570015768"</f>
        <v>570015768</v>
      </c>
      <c r="B4182" t="str">
        <f>"EHPAD 'LES VIGNELLES'"</f>
        <v>EHPAD 'LES VIGNELLES'</v>
      </c>
      <c r="C4182" t="s">
        <v>62</v>
      </c>
    </row>
    <row r="4183" spans="1:3" x14ac:dyDescent="0.25">
      <c r="A4183" t="str">
        <f>"570015818"</f>
        <v>570015818</v>
      </c>
      <c r="B4183" t="str">
        <f>"EHPAD 'LES PINS'"</f>
        <v>EHPAD 'LES PINS'</v>
      </c>
      <c r="C4183" t="s">
        <v>62</v>
      </c>
    </row>
    <row r="4184" spans="1:3" x14ac:dyDescent="0.25">
      <c r="A4184" t="str">
        <f>"570015834"</f>
        <v>570015834</v>
      </c>
      <c r="B4184" t="str">
        <f>"RESIDENCE DU MOULIN DE DOMEVRE"</f>
        <v>RESIDENCE DU MOULIN DE DOMEVRE</v>
      </c>
      <c r="C4184" t="s">
        <v>62</v>
      </c>
    </row>
    <row r="4185" spans="1:3" x14ac:dyDescent="0.25">
      <c r="A4185" t="str">
        <f>"570015842"</f>
        <v>570015842</v>
      </c>
      <c r="B4185" t="str">
        <f>"EHPAD 'LA TOUR DE HEU'"</f>
        <v>EHPAD 'LA TOUR DE HEU'</v>
      </c>
      <c r="C4185" t="s">
        <v>62</v>
      </c>
    </row>
    <row r="4186" spans="1:3" x14ac:dyDescent="0.25">
      <c r="A4186" t="str">
        <f>"570021964"</f>
        <v>570021964</v>
      </c>
      <c r="B4186" t="str">
        <f>"EHPAD 'RESIDENCE DE LA PEPINIERE'"</f>
        <v>EHPAD 'RESIDENCE DE LA PEPINIERE'</v>
      </c>
      <c r="C4186" t="s">
        <v>62</v>
      </c>
    </row>
    <row r="4187" spans="1:3" x14ac:dyDescent="0.25">
      <c r="A4187" t="str">
        <f>"570022681"</f>
        <v>570022681</v>
      </c>
      <c r="B4187" t="str">
        <f>"EHPAD 'LES SEQUOIAS'"</f>
        <v>EHPAD 'LES SEQUOIAS'</v>
      </c>
      <c r="C4187" t="s">
        <v>62</v>
      </c>
    </row>
    <row r="4188" spans="1:3" x14ac:dyDescent="0.25">
      <c r="A4188" t="str">
        <f>"570022707"</f>
        <v>570022707</v>
      </c>
      <c r="B4188" t="str">
        <f>"EHPAD 'LE CLOS FLEURI'"</f>
        <v>EHPAD 'LE CLOS FLEURI'</v>
      </c>
      <c r="C4188" t="s">
        <v>62</v>
      </c>
    </row>
    <row r="4189" spans="1:3" x14ac:dyDescent="0.25">
      <c r="A4189" t="str">
        <f>"570022905"</f>
        <v>570022905</v>
      </c>
      <c r="B4189" t="str">
        <f>"EHPAD HYGIE"</f>
        <v>EHPAD HYGIE</v>
      </c>
      <c r="C4189" t="s">
        <v>62</v>
      </c>
    </row>
    <row r="4190" spans="1:3" x14ac:dyDescent="0.25">
      <c r="A4190" t="str">
        <f>"570023317"</f>
        <v>570023317</v>
      </c>
      <c r="B4190" t="str">
        <f>"EHPAD 'SAINTE ELISABETH'"</f>
        <v>EHPAD 'SAINTE ELISABETH'</v>
      </c>
      <c r="C4190" t="s">
        <v>62</v>
      </c>
    </row>
    <row r="4191" spans="1:3" x14ac:dyDescent="0.25">
      <c r="A4191" t="str">
        <f>"570023374"</f>
        <v>570023374</v>
      </c>
      <c r="B4191" t="str">
        <f>"EHPAD 'LES ACACIAS'"</f>
        <v>EHPAD 'LES ACACIAS'</v>
      </c>
      <c r="C4191" t="s">
        <v>62</v>
      </c>
    </row>
    <row r="4192" spans="1:3" x14ac:dyDescent="0.25">
      <c r="A4192" t="str">
        <f>"570023382"</f>
        <v>570023382</v>
      </c>
      <c r="B4192" t="str">
        <f>"EHPAD RESIDENCE ANDRE COPIN"</f>
        <v>EHPAD RESIDENCE ANDRE COPIN</v>
      </c>
      <c r="C4192" t="s">
        <v>62</v>
      </c>
    </row>
    <row r="4193" spans="1:3" x14ac:dyDescent="0.25">
      <c r="A4193" t="str">
        <f>"570023416"</f>
        <v>570023416</v>
      </c>
      <c r="B4193" t="str">
        <f>"EHPAD 'LES LAURIERS'"</f>
        <v>EHPAD 'LES LAURIERS'</v>
      </c>
      <c r="C4193" t="s">
        <v>62</v>
      </c>
    </row>
    <row r="4194" spans="1:3" x14ac:dyDescent="0.25">
      <c r="A4194" t="str">
        <f>"570023531"</f>
        <v>570023531</v>
      </c>
      <c r="B4194" t="str">
        <f>"EHPAD LES FAUBOURGS DE L'ORNE ASSPO"</f>
        <v>EHPAD LES FAUBOURGS DE L'ORNE ASSPO</v>
      </c>
      <c r="C4194" t="s">
        <v>62</v>
      </c>
    </row>
    <row r="4195" spans="1:3" x14ac:dyDescent="0.25">
      <c r="A4195" t="str">
        <f>"570023564"</f>
        <v>570023564</v>
      </c>
      <c r="B4195" t="str">
        <f>"EHPAD 'LES COQUELICOTS'"</f>
        <v>EHPAD 'LES COQUELICOTS'</v>
      </c>
      <c r="C4195" t="s">
        <v>62</v>
      </c>
    </row>
    <row r="4196" spans="1:3" x14ac:dyDescent="0.25">
      <c r="A4196" t="str">
        <f>"570023572"</f>
        <v>570023572</v>
      </c>
      <c r="B4196" t="str">
        <f>"EHPAD 'LA KISSEL'"</f>
        <v>EHPAD 'LA KISSEL'</v>
      </c>
      <c r="C4196" t="s">
        <v>62</v>
      </c>
    </row>
    <row r="4197" spans="1:3" x14ac:dyDescent="0.25">
      <c r="A4197" t="str">
        <f>"570023580"</f>
        <v>570023580</v>
      </c>
      <c r="B4197" t="str">
        <f>"EHPAD SAINTE ELISABETH"</f>
        <v>EHPAD SAINTE ELISABETH</v>
      </c>
      <c r="C4197" t="s">
        <v>62</v>
      </c>
    </row>
    <row r="4198" spans="1:3" x14ac:dyDescent="0.25">
      <c r="A4198" t="str">
        <f>"570023598"</f>
        <v>570023598</v>
      </c>
      <c r="B4198" t="str">
        <f>"EHPAD 'VILLA D'AVRIL'"</f>
        <v>EHPAD 'VILLA D'AVRIL'</v>
      </c>
      <c r="C4198" t="s">
        <v>62</v>
      </c>
    </row>
    <row r="4199" spans="1:3" x14ac:dyDescent="0.25">
      <c r="A4199" t="str">
        <f>"570023713"</f>
        <v>570023713</v>
      </c>
      <c r="B4199" t="str">
        <f>"EHPAD 'HUGUETTE HENRY'"</f>
        <v>EHPAD 'HUGUETTE HENRY'</v>
      </c>
      <c r="C4199" t="s">
        <v>62</v>
      </c>
    </row>
    <row r="4200" spans="1:3" x14ac:dyDescent="0.25">
      <c r="A4200" t="str">
        <f>"570023853"</f>
        <v>570023853</v>
      </c>
      <c r="B4200" t="str">
        <f>"EHPAD 'SAINTE MARIE'"</f>
        <v>EHPAD 'SAINTE MARIE'</v>
      </c>
      <c r="C4200" t="s">
        <v>62</v>
      </c>
    </row>
    <row r="4201" spans="1:3" x14ac:dyDescent="0.25">
      <c r="A4201" t="str">
        <f>"570023861"</f>
        <v>570023861</v>
      </c>
      <c r="B4201" t="str">
        <f>"MAISON DE RETRAITE SAINT FRANCOIS"</f>
        <v>MAISON DE RETRAITE SAINT FRANCOIS</v>
      </c>
      <c r="C4201" t="s">
        <v>62</v>
      </c>
    </row>
    <row r="4202" spans="1:3" x14ac:dyDescent="0.25">
      <c r="A4202" t="str">
        <f>"570023879"</f>
        <v>570023879</v>
      </c>
      <c r="B4202" t="str">
        <f>"EHPAD 'LES JARDINS DU KEM'"</f>
        <v>EHPAD 'LES JARDINS DU KEM'</v>
      </c>
      <c r="C4202" t="s">
        <v>62</v>
      </c>
    </row>
    <row r="4203" spans="1:3" x14ac:dyDescent="0.25">
      <c r="A4203" t="str">
        <f>"570023887"</f>
        <v>570023887</v>
      </c>
      <c r="B4203" t="str">
        <f>"EHPAD RESIDENCE GERIATRIQUE LE WITTEN"</f>
        <v>EHPAD RESIDENCE GERIATRIQUE LE WITTEN</v>
      </c>
      <c r="C4203" t="s">
        <v>62</v>
      </c>
    </row>
    <row r="4204" spans="1:3" x14ac:dyDescent="0.25">
      <c r="A4204" t="str">
        <f>"570023952"</f>
        <v>570023952</v>
      </c>
      <c r="B4204" t="str">
        <f>"EHPAD 'LA FORET'"</f>
        <v>EHPAD 'LA FORET'</v>
      </c>
      <c r="C4204" t="s">
        <v>62</v>
      </c>
    </row>
    <row r="4205" spans="1:3" x14ac:dyDescent="0.25">
      <c r="A4205" t="str">
        <f>"570023986"</f>
        <v>570023986</v>
      </c>
      <c r="B4205" t="str">
        <f>"EHPAD 'PAVILLON DU SOLEIL'"</f>
        <v>EHPAD 'PAVILLON DU SOLEIL'</v>
      </c>
      <c r="C4205" t="s">
        <v>62</v>
      </c>
    </row>
    <row r="4206" spans="1:3" x14ac:dyDescent="0.25">
      <c r="A4206" t="str">
        <f>"570023994"</f>
        <v>570023994</v>
      </c>
      <c r="B4206" t="str">
        <f>"EHPAD 'SAINTE ELISABETH' METZERVISSE"</f>
        <v>EHPAD 'SAINTE ELISABETH' METZERVISSE</v>
      </c>
      <c r="C4206" t="s">
        <v>62</v>
      </c>
    </row>
    <row r="4207" spans="1:3" x14ac:dyDescent="0.25">
      <c r="A4207" t="str">
        <f>"570024000"</f>
        <v>570024000</v>
      </c>
      <c r="B4207" t="str">
        <f>"EHPAD 'LES SOURCES'DE MONTBRONN"</f>
        <v>EHPAD 'LES SOURCES'DE MONTBRONN</v>
      </c>
      <c r="C4207" t="s">
        <v>62</v>
      </c>
    </row>
    <row r="4208" spans="1:3" x14ac:dyDescent="0.25">
      <c r="A4208" t="str">
        <f>"570024018"</f>
        <v>570024018</v>
      </c>
      <c r="B4208" t="str">
        <f>"EHPAD 'SAINTE CLAIRE' METZ"</f>
        <v>EHPAD 'SAINTE CLAIRE' METZ</v>
      </c>
      <c r="C4208" t="s">
        <v>62</v>
      </c>
    </row>
    <row r="4209" spans="1:3" x14ac:dyDescent="0.25">
      <c r="A4209" t="str">
        <f>"570024075"</f>
        <v>570024075</v>
      </c>
      <c r="B4209" t="str">
        <f>"EHPAD DE GORZE"</f>
        <v>EHPAD DE GORZE</v>
      </c>
      <c r="C4209" t="s">
        <v>62</v>
      </c>
    </row>
    <row r="4210" spans="1:3" x14ac:dyDescent="0.25">
      <c r="A4210" t="str">
        <f>"570024109"</f>
        <v>570024109</v>
      </c>
      <c r="B4210" t="str">
        <f>"EHPAD FELIX MARECHAL"</f>
        <v>EHPAD FELIX MARECHAL</v>
      </c>
      <c r="C4210" t="s">
        <v>62</v>
      </c>
    </row>
    <row r="4211" spans="1:3" x14ac:dyDescent="0.25">
      <c r="A4211" t="str">
        <f>"570024117"</f>
        <v>570024117</v>
      </c>
      <c r="B4211" t="str">
        <f>"EHPAD FILIERIS LES LUPINS A CREUTZWALD"</f>
        <v>EHPAD FILIERIS LES LUPINS A CREUTZWALD</v>
      </c>
      <c r="C4211" t="s">
        <v>62</v>
      </c>
    </row>
    <row r="4212" spans="1:3" x14ac:dyDescent="0.25">
      <c r="A4212" t="str">
        <f>"570024125"</f>
        <v>570024125</v>
      </c>
      <c r="B4212" t="str">
        <f>"EHPAD 'LES QUATRE SAISONS'"</f>
        <v>EHPAD 'LES QUATRE SAISONS'</v>
      </c>
      <c r="C4212" t="s">
        <v>62</v>
      </c>
    </row>
    <row r="4213" spans="1:3" x14ac:dyDescent="0.25">
      <c r="A4213" t="str">
        <f>"570024133"</f>
        <v>570024133</v>
      </c>
      <c r="B4213" t="str">
        <f>"EHPAD SAINTE ELISABETH"</f>
        <v>EHPAD SAINTE ELISABETH</v>
      </c>
      <c r="C4213" t="s">
        <v>62</v>
      </c>
    </row>
    <row r="4214" spans="1:3" x14ac:dyDescent="0.25">
      <c r="A4214" t="str">
        <f>"570024141"</f>
        <v>570024141</v>
      </c>
      <c r="B4214" t="str">
        <f>"EHPAD DU CHS DE SARREGUEMINES"</f>
        <v>EHPAD DU CHS DE SARREGUEMINES</v>
      </c>
      <c r="C4214" t="s">
        <v>62</v>
      </c>
    </row>
    <row r="4215" spans="1:3" x14ac:dyDescent="0.25">
      <c r="A4215" t="str">
        <f>"570024547"</f>
        <v>570024547</v>
      </c>
      <c r="B4215" t="str">
        <f>"RESIDENCE 'LE PRIEURE DE LA FENSCH'"</f>
        <v>RESIDENCE 'LE PRIEURE DE LA FENSCH'</v>
      </c>
      <c r="C4215" t="s">
        <v>62</v>
      </c>
    </row>
    <row r="4216" spans="1:3" x14ac:dyDescent="0.25">
      <c r="A4216" t="str">
        <f>"570024679"</f>
        <v>570024679</v>
      </c>
      <c r="B4216" t="str">
        <f>"EHPAD DE L'HOPITAL DE CHATEAU SALINS"</f>
        <v>EHPAD DE L'HOPITAL DE CHATEAU SALINS</v>
      </c>
      <c r="C4216" t="s">
        <v>62</v>
      </c>
    </row>
    <row r="4217" spans="1:3" x14ac:dyDescent="0.25">
      <c r="A4217" t="str">
        <f>"570024711"</f>
        <v>570024711</v>
      </c>
      <c r="B4217" t="str">
        <f>"EHPAD 'RESIDENCE DU PLATEAU'"</f>
        <v>EHPAD 'RESIDENCE DU PLATEAU'</v>
      </c>
      <c r="C4217" t="s">
        <v>62</v>
      </c>
    </row>
    <row r="4218" spans="1:3" x14ac:dyDescent="0.25">
      <c r="A4218" t="str">
        <f>"570024844"</f>
        <v>570024844</v>
      </c>
      <c r="B4218" t="str">
        <f>"EHPAD 'RESIDENCE SAINT JULIEN'"</f>
        <v>EHPAD 'RESIDENCE SAINT JULIEN'</v>
      </c>
      <c r="C4218" t="s">
        <v>62</v>
      </c>
    </row>
    <row r="4219" spans="1:3" x14ac:dyDescent="0.25">
      <c r="A4219" t="str">
        <f>"570024976"</f>
        <v>570024976</v>
      </c>
      <c r="B4219" t="str">
        <f>"EHPAD 'LA VILLA AMARELLI'"</f>
        <v>EHPAD 'LA VILLA AMARELLI'</v>
      </c>
      <c r="C4219" t="s">
        <v>62</v>
      </c>
    </row>
    <row r="4220" spans="1:3" x14ac:dyDescent="0.25">
      <c r="A4220" t="str">
        <f>"570027128"</f>
        <v>570027128</v>
      </c>
      <c r="B4220" t="str">
        <f>"EHPAD VILLA BEAU SOLEIL BOULAY"</f>
        <v>EHPAD VILLA BEAU SOLEIL BOULAY</v>
      </c>
      <c r="C4220" t="s">
        <v>62</v>
      </c>
    </row>
    <row r="4221" spans="1:3" x14ac:dyDescent="0.25">
      <c r="A4221" t="str">
        <f>"570027391"</f>
        <v>570027391</v>
      </c>
      <c r="B4221" t="str">
        <f>"EHPAD 'LE BOIS DES OISELEURS'"</f>
        <v>EHPAD 'LE BOIS DES OISELEURS'</v>
      </c>
      <c r="C4221" t="s">
        <v>62</v>
      </c>
    </row>
    <row r="4222" spans="1:3" x14ac:dyDescent="0.25">
      <c r="A4222" t="str">
        <f>"570029413"</f>
        <v>570029413</v>
      </c>
      <c r="B4222" t="str">
        <f>"EHPAD LE PRIEURE DU THIONVILLOIS"</f>
        <v>EHPAD LE PRIEURE DU THIONVILLOIS</v>
      </c>
      <c r="C4222" t="s">
        <v>62</v>
      </c>
    </row>
    <row r="4223" spans="1:3" x14ac:dyDescent="0.25">
      <c r="A4223" t="str">
        <f>"570029470"</f>
        <v>570029470</v>
      </c>
      <c r="B4223" t="str">
        <f>"EHPAD RÉSIDENCE DE LA SALLE"</f>
        <v>EHPAD RÉSIDENCE DE LA SALLE</v>
      </c>
      <c r="C4223" t="s">
        <v>62</v>
      </c>
    </row>
    <row r="4224" spans="1:3" x14ac:dyDescent="0.25">
      <c r="A4224" t="str">
        <f>"580000768"</f>
        <v>580000768</v>
      </c>
      <c r="B4224" t="str">
        <f>"EHPAD ARPAGE SAINT GENEST"</f>
        <v>EHPAD ARPAGE SAINT GENEST</v>
      </c>
      <c r="C4224" t="s">
        <v>64</v>
      </c>
    </row>
    <row r="4225" spans="1:3" x14ac:dyDescent="0.25">
      <c r="A4225" t="str">
        <f>"580000909"</f>
        <v>580000909</v>
      </c>
      <c r="B4225" t="str">
        <f>"EHPAD LES LOGIS DU NIVERNAIS"</f>
        <v>EHPAD LES LOGIS DU NIVERNAIS</v>
      </c>
      <c r="C4225" t="s">
        <v>64</v>
      </c>
    </row>
    <row r="4226" spans="1:3" x14ac:dyDescent="0.25">
      <c r="A4226" t="str">
        <f>"580000974"</f>
        <v>580000974</v>
      </c>
      <c r="B4226" t="str">
        <f>"EHPAD EMILE CLERGET"</f>
        <v>EHPAD EMILE CLERGET</v>
      </c>
      <c r="C4226" t="s">
        <v>64</v>
      </c>
    </row>
    <row r="4227" spans="1:3" x14ac:dyDescent="0.25">
      <c r="A4227" t="str">
        <f>"580004679"</f>
        <v>580004679</v>
      </c>
      <c r="B4227" t="str">
        <f>"EHPAD LA MAISON DES VERDIAUX"</f>
        <v>EHPAD LA MAISON DES VERDIAUX</v>
      </c>
      <c r="C4227" t="s">
        <v>64</v>
      </c>
    </row>
    <row r="4228" spans="1:3" x14ac:dyDescent="0.25">
      <c r="A4228" t="str">
        <f>"580004919"</f>
        <v>580004919</v>
      </c>
      <c r="B4228" t="str">
        <f>"EHPAD LE CHAMP DE LA DAME"</f>
        <v>EHPAD LE CHAMP DE LA DAME</v>
      </c>
      <c r="C4228" t="s">
        <v>64</v>
      </c>
    </row>
    <row r="4229" spans="1:3" x14ac:dyDescent="0.25">
      <c r="A4229" t="str">
        <f>"580005098"</f>
        <v>580005098</v>
      </c>
      <c r="B4229" t="str">
        <f>"EHPAD RESIDENCE RIVE DE LOIRE"</f>
        <v>EHPAD RESIDENCE RIVE DE LOIRE</v>
      </c>
      <c r="C4229" t="s">
        <v>64</v>
      </c>
    </row>
    <row r="4230" spans="1:3" x14ac:dyDescent="0.25">
      <c r="A4230" t="str">
        <f>"580005361"</f>
        <v>580005361</v>
      </c>
      <c r="B4230" t="str">
        <f>"EHPAD LES FORGES ROYALES"</f>
        <v>EHPAD LES FORGES ROYALES</v>
      </c>
      <c r="C4230" t="s">
        <v>64</v>
      </c>
    </row>
    <row r="4231" spans="1:3" x14ac:dyDescent="0.25">
      <c r="A4231" t="str">
        <f>"580780724"</f>
        <v>580780724</v>
      </c>
      <c r="B4231" t="str">
        <f>"EHPAD LES PETITES PROMENADES"</f>
        <v>EHPAD LES PETITES PROMENADES</v>
      </c>
      <c r="C4231" t="s">
        <v>64</v>
      </c>
    </row>
    <row r="4232" spans="1:3" x14ac:dyDescent="0.25">
      <c r="A4232" t="str">
        <f>"580780849"</f>
        <v>580780849</v>
      </c>
      <c r="B4232" t="str">
        <f>"EHPAD LES BLES D OR"</f>
        <v>EHPAD LES BLES D OR</v>
      </c>
      <c r="C4232" t="s">
        <v>64</v>
      </c>
    </row>
    <row r="4233" spans="1:3" x14ac:dyDescent="0.25">
      <c r="A4233" t="str">
        <f>"580780856"</f>
        <v>580780856</v>
      </c>
      <c r="B4233" t="str">
        <f>"EHPAD CERCY LA TOUR"</f>
        <v>EHPAD CERCY LA TOUR</v>
      </c>
      <c r="C4233" t="s">
        <v>64</v>
      </c>
    </row>
    <row r="4234" spans="1:3" x14ac:dyDescent="0.25">
      <c r="A4234" t="str">
        <f>"580780872"</f>
        <v>580780872</v>
      </c>
      <c r="B4234" t="str">
        <f>"EHPAD SUD MORVAN"</f>
        <v>EHPAD SUD MORVAN</v>
      </c>
      <c r="C4234" t="s">
        <v>64</v>
      </c>
    </row>
    <row r="4235" spans="1:3" x14ac:dyDescent="0.25">
      <c r="A4235" t="str">
        <f>"580780880"</f>
        <v>580780880</v>
      </c>
      <c r="B4235" t="str">
        <f>"EHPAD ST BENIN D'AZY"</f>
        <v>EHPAD ST BENIN D'AZY</v>
      </c>
      <c r="C4235" t="s">
        <v>64</v>
      </c>
    </row>
    <row r="4236" spans="1:3" x14ac:dyDescent="0.25">
      <c r="A4236" t="str">
        <f>"580781052"</f>
        <v>580781052</v>
      </c>
      <c r="B4236" t="str">
        <f>"EHPAD DU COSAC"</f>
        <v>EHPAD DU COSAC</v>
      </c>
      <c r="C4236" t="s">
        <v>64</v>
      </c>
    </row>
    <row r="4237" spans="1:3" x14ac:dyDescent="0.25">
      <c r="A4237" t="str">
        <f>"580781144"</f>
        <v>580781144</v>
      </c>
      <c r="B4237" t="str">
        <f>"EHPAD DU CH HENRI DUNANT"</f>
        <v>EHPAD DU CH HENRI DUNANT</v>
      </c>
      <c r="C4237" t="s">
        <v>64</v>
      </c>
    </row>
    <row r="4238" spans="1:3" x14ac:dyDescent="0.25">
      <c r="A4238" t="str">
        <f>"580781185"</f>
        <v>580781185</v>
      </c>
      <c r="B4238" t="str">
        <f>"EHPAD LE CERCLE DES AINES"</f>
        <v>EHPAD LE CERCLE DES AINES</v>
      </c>
      <c r="C4238" t="s">
        <v>64</v>
      </c>
    </row>
    <row r="4239" spans="1:3" x14ac:dyDescent="0.25">
      <c r="A4239" t="str">
        <f>"580782100"</f>
        <v>580782100</v>
      </c>
      <c r="B4239" t="str">
        <f>"EHPAD LE CLOS"</f>
        <v>EHPAD LE CLOS</v>
      </c>
      <c r="C4239" t="s">
        <v>64</v>
      </c>
    </row>
    <row r="4240" spans="1:3" x14ac:dyDescent="0.25">
      <c r="A4240" t="str">
        <f>"580782134"</f>
        <v>580782134</v>
      </c>
      <c r="B4240" t="str">
        <f>"EHPAD DU CH DE DECIZE"</f>
        <v>EHPAD DU CH DE DECIZE</v>
      </c>
      <c r="C4240" t="s">
        <v>64</v>
      </c>
    </row>
    <row r="4241" spans="1:3" x14ac:dyDescent="0.25">
      <c r="A4241" t="str">
        <f>"580970119"</f>
        <v>580970119</v>
      </c>
      <c r="B4241" t="str">
        <f>"EHPAD DU CH DE COSNE-COURS/LOIRE"</f>
        <v>EHPAD DU CH DE COSNE-COURS/LOIRE</v>
      </c>
      <c r="C4241" t="s">
        <v>64</v>
      </c>
    </row>
    <row r="4242" spans="1:3" x14ac:dyDescent="0.25">
      <c r="A4242" t="str">
        <f>"580970259"</f>
        <v>580970259</v>
      </c>
      <c r="B4242" t="str">
        <f>"EHPAD DU CH DE CHATEAU-CHINON"</f>
        <v>EHPAD DU CH DE CHATEAU-CHINON</v>
      </c>
      <c r="C4242" t="s">
        <v>64</v>
      </c>
    </row>
    <row r="4243" spans="1:3" x14ac:dyDescent="0.25">
      <c r="A4243" t="str">
        <f>"580970473"</f>
        <v>580970473</v>
      </c>
      <c r="B4243" t="str">
        <f>"EHPAD DU HAUT NOHAIN"</f>
        <v>EHPAD DU HAUT NOHAIN</v>
      </c>
      <c r="C4243" t="s">
        <v>64</v>
      </c>
    </row>
    <row r="4244" spans="1:3" x14ac:dyDescent="0.25">
      <c r="A4244" t="str">
        <f>"580970481"</f>
        <v>580970481</v>
      </c>
      <c r="B4244" t="str">
        <f>"EHPAD OEUVRE HOSPITALIERE CORBIGNY"</f>
        <v>EHPAD OEUVRE HOSPITALIERE CORBIGNY</v>
      </c>
      <c r="C4244" t="s">
        <v>64</v>
      </c>
    </row>
    <row r="4245" spans="1:3" x14ac:dyDescent="0.25">
      <c r="A4245" t="str">
        <f>"580970804"</f>
        <v>580970804</v>
      </c>
      <c r="B4245" t="str">
        <f>"EHPAD DU CH DE CLAMECY"</f>
        <v>EHPAD DU CH DE CLAMECY</v>
      </c>
      <c r="C4245" t="s">
        <v>64</v>
      </c>
    </row>
    <row r="4246" spans="1:3" x14ac:dyDescent="0.25">
      <c r="A4246" t="str">
        <f>"580971034"</f>
        <v>580971034</v>
      </c>
      <c r="B4246" t="str">
        <f>"EHPAD PIGNELIN"</f>
        <v>EHPAD PIGNELIN</v>
      </c>
      <c r="C4246" t="s">
        <v>64</v>
      </c>
    </row>
    <row r="4247" spans="1:3" x14ac:dyDescent="0.25">
      <c r="A4247" t="str">
        <f>"580971059"</f>
        <v>580971059</v>
      </c>
      <c r="B4247" t="str">
        <f>"EHPAD LES OCRIERES"</f>
        <v>EHPAD LES OCRIERES</v>
      </c>
      <c r="C4247" t="s">
        <v>64</v>
      </c>
    </row>
    <row r="4248" spans="1:3" x14ac:dyDescent="0.25">
      <c r="A4248" t="str">
        <f>"580971075"</f>
        <v>580971075</v>
      </c>
      <c r="B4248" t="str">
        <f>"EHPAD DU CH DE LORMES"</f>
        <v>EHPAD DU CH DE LORMES</v>
      </c>
      <c r="C4248" t="s">
        <v>64</v>
      </c>
    </row>
    <row r="4249" spans="1:3" x14ac:dyDescent="0.25">
      <c r="A4249" t="str">
        <f>"580971133"</f>
        <v>580971133</v>
      </c>
      <c r="B4249" t="str">
        <f>"EHPAD DANIEL BENOIST"</f>
        <v>EHPAD DANIEL BENOIST</v>
      </c>
      <c r="C4249" t="s">
        <v>64</v>
      </c>
    </row>
    <row r="4250" spans="1:3" x14ac:dyDescent="0.25">
      <c r="A4250" t="str">
        <f>"580971257"</f>
        <v>580971257</v>
      </c>
      <c r="B4250" t="str">
        <f>"EHPAD LA PROVIDENCE"</f>
        <v>EHPAD LA PROVIDENCE</v>
      </c>
      <c r="C4250" t="s">
        <v>64</v>
      </c>
    </row>
    <row r="4251" spans="1:3" x14ac:dyDescent="0.25">
      <c r="A4251" t="str">
        <f>"580971299"</f>
        <v>580971299</v>
      </c>
      <c r="B4251" t="str">
        <f>"EHPAD LES JARDINS DES LAIGNES"</f>
        <v>EHPAD LES JARDINS DES LAIGNES</v>
      </c>
      <c r="C4251" t="s">
        <v>64</v>
      </c>
    </row>
    <row r="4252" spans="1:3" x14ac:dyDescent="0.25">
      <c r="A4252" t="str">
        <f>"580971588"</f>
        <v>580971588</v>
      </c>
      <c r="B4252" t="str">
        <f>"EHPAD SAINT PIERRE LE MOUTIER"</f>
        <v>EHPAD SAINT PIERRE LE MOUTIER</v>
      </c>
      <c r="C4252" t="s">
        <v>64</v>
      </c>
    </row>
    <row r="4253" spans="1:3" x14ac:dyDescent="0.25">
      <c r="A4253" t="str">
        <f>"580971620"</f>
        <v>580971620</v>
      </c>
      <c r="B4253" t="str">
        <f>"EHPAD LES FEUILLANTINES"</f>
        <v>EHPAD LES FEUILLANTINES</v>
      </c>
      <c r="C4253" t="s">
        <v>64</v>
      </c>
    </row>
    <row r="4254" spans="1:3" x14ac:dyDescent="0.25">
      <c r="A4254" t="str">
        <f>"580972024"</f>
        <v>580972024</v>
      </c>
      <c r="B4254" t="str">
        <f>"EHPAD LUZY"</f>
        <v>EHPAD LUZY</v>
      </c>
      <c r="C4254" t="s">
        <v>64</v>
      </c>
    </row>
    <row r="4255" spans="1:3" x14ac:dyDescent="0.25">
      <c r="A4255" t="str">
        <f>"580972123"</f>
        <v>580972123</v>
      </c>
      <c r="B4255" t="str">
        <f>"EHPAD MARION DE GIVRY"</f>
        <v>EHPAD MARION DE GIVRY</v>
      </c>
      <c r="C4255" t="s">
        <v>64</v>
      </c>
    </row>
    <row r="4256" spans="1:3" x14ac:dyDescent="0.25">
      <c r="A4256" t="str">
        <f>"580972131"</f>
        <v>580972131</v>
      </c>
      <c r="B4256" t="str">
        <f>"EHPAD PIERRE BEREGOVOY"</f>
        <v>EHPAD PIERRE BEREGOVOY</v>
      </c>
      <c r="C4256" t="s">
        <v>64</v>
      </c>
    </row>
    <row r="4257" spans="1:3" x14ac:dyDescent="0.25">
      <c r="A4257" t="str">
        <f>"580972149"</f>
        <v>580972149</v>
      </c>
      <c r="B4257" t="str">
        <f>"EHPAD LES COLCHIQUES"</f>
        <v>EHPAD LES COLCHIQUES</v>
      </c>
      <c r="C4257" t="s">
        <v>64</v>
      </c>
    </row>
    <row r="4258" spans="1:3" x14ac:dyDescent="0.25">
      <c r="A4258" t="str">
        <f>"580972172"</f>
        <v>580972172</v>
      </c>
      <c r="B4258" t="str">
        <f>"EHPAD LES OPALINES"</f>
        <v>EHPAD LES OPALINES</v>
      </c>
      <c r="C4258" t="s">
        <v>64</v>
      </c>
    </row>
    <row r="4259" spans="1:3" x14ac:dyDescent="0.25">
      <c r="A4259" t="str">
        <f>"580972529"</f>
        <v>580972529</v>
      </c>
      <c r="B4259" t="str">
        <f>"EHPAD HENRI MARSAUDON"</f>
        <v>EHPAD HENRI MARSAUDON</v>
      </c>
      <c r="C4259" t="s">
        <v>64</v>
      </c>
    </row>
    <row r="4260" spans="1:3" x14ac:dyDescent="0.25">
      <c r="A4260" t="str">
        <f>"580972594"</f>
        <v>580972594</v>
      </c>
      <c r="B4260" t="str">
        <f>"EHPAD BERNARD DE LAPLANCHE"</f>
        <v>EHPAD BERNARD DE LAPLANCHE</v>
      </c>
      <c r="C4260" t="s">
        <v>64</v>
      </c>
    </row>
    <row r="4261" spans="1:3" x14ac:dyDescent="0.25">
      <c r="A4261" t="str">
        <f>"590006862"</f>
        <v>590006862</v>
      </c>
      <c r="B4261" t="str">
        <f>"EHPAD RESIDENCE LES CAMANETTES"</f>
        <v>EHPAD RESIDENCE LES CAMANETTES</v>
      </c>
      <c r="C4261" t="s">
        <v>68</v>
      </c>
    </row>
    <row r="4262" spans="1:3" x14ac:dyDescent="0.25">
      <c r="A4262" t="str">
        <f>"590007266"</f>
        <v>590007266</v>
      </c>
      <c r="B4262" t="str">
        <f>"EHPAD  LES ORCHIDEES"</f>
        <v>EHPAD  LES ORCHIDEES</v>
      </c>
      <c r="C4262" t="s">
        <v>68</v>
      </c>
    </row>
    <row r="4263" spans="1:3" x14ac:dyDescent="0.25">
      <c r="A4263" t="str">
        <f>"590007373"</f>
        <v>590007373</v>
      </c>
      <c r="B4263" t="str">
        <f>"EHPAD RESIDENCE DOMAINE DU LAC"</f>
        <v>EHPAD RESIDENCE DOMAINE DU LAC</v>
      </c>
      <c r="C4263" t="s">
        <v>68</v>
      </c>
    </row>
    <row r="4264" spans="1:3" x14ac:dyDescent="0.25">
      <c r="A4264" t="str">
        <f>"590010179"</f>
        <v>590010179</v>
      </c>
      <c r="B4264" t="str">
        <f>"EHPAD FONDATION DENIS LEMETTE"</f>
        <v>EHPAD FONDATION DENIS LEMETTE</v>
      </c>
      <c r="C4264" t="s">
        <v>68</v>
      </c>
    </row>
    <row r="4265" spans="1:3" x14ac:dyDescent="0.25">
      <c r="A4265" t="str">
        <f>"590010468"</f>
        <v>590010468</v>
      </c>
      <c r="B4265" t="str">
        <f>"EHPAD RESIDENCE ISABEAU DU BOSQUEL"</f>
        <v>EHPAD RESIDENCE ISABEAU DU BOSQUEL</v>
      </c>
      <c r="C4265" t="s">
        <v>68</v>
      </c>
    </row>
    <row r="4266" spans="1:3" x14ac:dyDescent="0.25">
      <c r="A4266" t="str">
        <f>"590011458"</f>
        <v>590011458</v>
      </c>
      <c r="B4266" t="str">
        <f>"EHPAD TEMPS DE VIE PONT-À-MARCQ"</f>
        <v>EHPAD TEMPS DE VIE PONT-À-MARCQ</v>
      </c>
      <c r="C4266" t="s">
        <v>68</v>
      </c>
    </row>
    <row r="4267" spans="1:3" x14ac:dyDescent="0.25">
      <c r="A4267" t="str">
        <f>"590011508"</f>
        <v>590011508</v>
      </c>
      <c r="B4267" t="str">
        <f>"EHPAD TEMPS DE VIE PROVIN"</f>
        <v>EHPAD TEMPS DE VIE PROVIN</v>
      </c>
      <c r="C4267" t="s">
        <v>68</v>
      </c>
    </row>
    <row r="4268" spans="1:3" x14ac:dyDescent="0.25">
      <c r="A4268" t="str">
        <f>"590013959"</f>
        <v>590013959</v>
      </c>
      <c r="B4268" t="str">
        <f>"EHPAD RESIDENCE RACHEL MERESSE"</f>
        <v>EHPAD RESIDENCE RACHEL MERESSE</v>
      </c>
      <c r="C4268" t="s">
        <v>68</v>
      </c>
    </row>
    <row r="4269" spans="1:3" x14ac:dyDescent="0.25">
      <c r="A4269" t="str">
        <f>"590014999"</f>
        <v>590014999</v>
      </c>
      <c r="B4269" t="str">
        <f>"EHPAD 'LES TULIPIERS'"</f>
        <v>EHPAD 'LES TULIPIERS'</v>
      </c>
      <c r="C4269" t="s">
        <v>68</v>
      </c>
    </row>
    <row r="4270" spans="1:3" x14ac:dyDescent="0.25">
      <c r="A4270" t="str">
        <f>"590020608"</f>
        <v>590020608</v>
      </c>
      <c r="B4270" t="str">
        <f>"EHPAD RESIDENCE LOUIS ARAGON"</f>
        <v>EHPAD RESIDENCE LOUIS ARAGON</v>
      </c>
      <c r="C4270" t="s">
        <v>68</v>
      </c>
    </row>
    <row r="4271" spans="1:3" x14ac:dyDescent="0.25">
      <c r="A4271" t="str">
        <f>"590020848"</f>
        <v>590020848</v>
      </c>
      <c r="B4271" t="str">
        <f>"EHPAD LES FEUILLANTINES"</f>
        <v>EHPAD LES FEUILLANTINES</v>
      </c>
      <c r="C4271" t="s">
        <v>68</v>
      </c>
    </row>
    <row r="4272" spans="1:3" x14ac:dyDescent="0.25">
      <c r="A4272" t="str">
        <f>"590020988"</f>
        <v>590020988</v>
      </c>
      <c r="B4272" t="str">
        <f>"EHPAD LES CHARMILLES"</f>
        <v>EHPAD LES CHARMILLES</v>
      </c>
      <c r="C4272" t="s">
        <v>68</v>
      </c>
    </row>
    <row r="4273" spans="1:3" x14ac:dyDescent="0.25">
      <c r="A4273" t="str">
        <f>"590022638"</f>
        <v>590022638</v>
      </c>
      <c r="B4273" t="str">
        <f>"RESIDENCE MATISSE SERVILOGE LE DOMAINE"</f>
        <v>RESIDENCE MATISSE SERVILOGE LE DOMAINE</v>
      </c>
      <c r="C4273" t="s">
        <v>68</v>
      </c>
    </row>
    <row r="4274" spans="1:3" x14ac:dyDescent="0.25">
      <c r="A4274" t="str">
        <f>"590025268"</f>
        <v>590025268</v>
      </c>
      <c r="B4274" t="str">
        <f>"EHPAD RESIDENCE DU PARC"</f>
        <v>EHPAD RESIDENCE DU PARC</v>
      </c>
      <c r="C4274" t="s">
        <v>68</v>
      </c>
    </row>
    <row r="4275" spans="1:3" x14ac:dyDescent="0.25">
      <c r="A4275" t="str">
        <f>"590026209"</f>
        <v>590026209</v>
      </c>
      <c r="B4275" t="str">
        <f>"EHPAD LE BOIS D'AVESNES"</f>
        <v>EHPAD LE BOIS D'AVESNES</v>
      </c>
      <c r="C4275" t="s">
        <v>68</v>
      </c>
    </row>
    <row r="4276" spans="1:3" x14ac:dyDescent="0.25">
      <c r="A4276" t="str">
        <f>"590026829"</f>
        <v>590026829</v>
      </c>
      <c r="B4276" t="str">
        <f>"EHPAD RESIDENCE SAINT CAMILLE"</f>
        <v>EHPAD RESIDENCE SAINT CAMILLE</v>
      </c>
      <c r="C4276" t="s">
        <v>68</v>
      </c>
    </row>
    <row r="4277" spans="1:3" x14ac:dyDescent="0.25">
      <c r="A4277" t="str">
        <f>"590033957"</f>
        <v>590033957</v>
      </c>
      <c r="B4277" t="str">
        <f>"EHPAD LES ORCHIDEES TOURCOING"</f>
        <v>EHPAD LES ORCHIDEES TOURCOING</v>
      </c>
      <c r="C4277" t="s">
        <v>68</v>
      </c>
    </row>
    <row r="4278" spans="1:3" x14ac:dyDescent="0.25">
      <c r="A4278" t="str">
        <f>"590034617"</f>
        <v>590034617</v>
      </c>
      <c r="B4278" t="str">
        <f>"RÉSIDENCE LES LYS DU HAINAUT"</f>
        <v>RÉSIDENCE LES LYS DU HAINAUT</v>
      </c>
      <c r="C4278" t="s">
        <v>68</v>
      </c>
    </row>
    <row r="4279" spans="1:3" x14ac:dyDescent="0.25">
      <c r="A4279" t="str">
        <f>"590034658"</f>
        <v>590034658</v>
      </c>
      <c r="B4279" t="str">
        <f>"EHPAD LES TILLEULS"</f>
        <v>EHPAD LES TILLEULS</v>
      </c>
      <c r="C4279" t="s">
        <v>68</v>
      </c>
    </row>
    <row r="4280" spans="1:3" x14ac:dyDescent="0.25">
      <c r="A4280" t="str">
        <f>"590034989"</f>
        <v>590034989</v>
      </c>
      <c r="B4280" t="str">
        <f>"EHPAD L'ARBRE DE VIE"</f>
        <v>EHPAD L'ARBRE DE VIE</v>
      </c>
      <c r="C4280" t="s">
        <v>68</v>
      </c>
    </row>
    <row r="4281" spans="1:3" x14ac:dyDescent="0.25">
      <c r="A4281" t="str">
        <f>"590034997"</f>
        <v>590034997</v>
      </c>
      <c r="B4281" t="str">
        <f>"EHPAD GRAND MERE PARIS"</f>
        <v>EHPAD GRAND MERE PARIS</v>
      </c>
      <c r="C4281" t="s">
        <v>68</v>
      </c>
    </row>
    <row r="4282" spans="1:3" x14ac:dyDescent="0.25">
      <c r="A4282" t="str">
        <f>"590035002"</f>
        <v>590035002</v>
      </c>
      <c r="B4282" t="str">
        <f>"EHPAD RESIDENCE DES SOURCES"</f>
        <v>EHPAD RESIDENCE DES SOURCES</v>
      </c>
      <c r="C4282" t="s">
        <v>68</v>
      </c>
    </row>
    <row r="4283" spans="1:3" x14ac:dyDescent="0.25">
      <c r="A4283" t="str">
        <f>"590035010"</f>
        <v>590035010</v>
      </c>
      <c r="B4283" t="str">
        <f>"EHPAD RESIDENCE 'EPIS D'OR'"</f>
        <v>EHPAD RESIDENCE 'EPIS D'OR'</v>
      </c>
      <c r="C4283" t="s">
        <v>68</v>
      </c>
    </row>
    <row r="4284" spans="1:3" x14ac:dyDescent="0.25">
      <c r="A4284" t="str">
        <f>"590035044"</f>
        <v>590035044</v>
      </c>
      <c r="B4284" t="str">
        <f>"PETITE UNITE DE VIE DESANDROUIN"</f>
        <v>PETITE UNITE DE VIE DESANDROUIN</v>
      </c>
      <c r="C4284" t="s">
        <v>68</v>
      </c>
    </row>
    <row r="4285" spans="1:3" x14ac:dyDescent="0.25">
      <c r="A4285" t="str">
        <f>"590035341"</f>
        <v>590035341</v>
      </c>
      <c r="B4285" t="str">
        <f>"EHPAD RESIDENCE  AU VERT FEUILLAGE"</f>
        <v>EHPAD RESIDENCE  AU VERT FEUILLAGE</v>
      </c>
      <c r="C4285" t="s">
        <v>68</v>
      </c>
    </row>
    <row r="4286" spans="1:3" x14ac:dyDescent="0.25">
      <c r="A4286" t="str">
        <f>"590035945"</f>
        <v>590035945</v>
      </c>
      <c r="B4286" t="str">
        <f>"EHPAD RESIDENCE LA GOELETTE"</f>
        <v>EHPAD RESIDENCE LA GOELETTE</v>
      </c>
      <c r="C4286" t="s">
        <v>68</v>
      </c>
    </row>
    <row r="4287" spans="1:3" x14ac:dyDescent="0.25">
      <c r="A4287" t="str">
        <f>"590036505"</f>
        <v>590036505</v>
      </c>
      <c r="B4287" t="str">
        <f>"EHPAD INTERCOM ROSE D'AUTOMNE"</f>
        <v>EHPAD INTERCOM ROSE D'AUTOMNE</v>
      </c>
      <c r="C4287" t="s">
        <v>68</v>
      </c>
    </row>
    <row r="4288" spans="1:3" x14ac:dyDescent="0.25">
      <c r="A4288" t="str">
        <f>"590036513"</f>
        <v>590036513</v>
      </c>
      <c r="B4288" t="str">
        <f>"EHPAD RESIDENCE SERVICE LES ACACIAS"</f>
        <v>EHPAD RESIDENCE SERVICE LES ACACIAS</v>
      </c>
      <c r="C4288" t="s">
        <v>68</v>
      </c>
    </row>
    <row r="4289" spans="1:3" x14ac:dyDescent="0.25">
      <c r="A4289" t="str">
        <f>"590037537"</f>
        <v>590037537</v>
      </c>
      <c r="B4289" t="str">
        <f>"EHPAD LA RHONELLE"</f>
        <v>EHPAD LA RHONELLE</v>
      </c>
      <c r="C4289" t="s">
        <v>68</v>
      </c>
    </row>
    <row r="4290" spans="1:3" x14ac:dyDescent="0.25">
      <c r="A4290" t="str">
        <f>"590037719"</f>
        <v>590037719</v>
      </c>
      <c r="B4290" t="str">
        <f>"EHPAD MARQUETTE EN OSTREVENT"</f>
        <v>EHPAD MARQUETTE EN OSTREVENT</v>
      </c>
      <c r="C4290" t="s">
        <v>68</v>
      </c>
    </row>
    <row r="4291" spans="1:3" x14ac:dyDescent="0.25">
      <c r="A4291" t="str">
        <f>"590037727"</f>
        <v>590037727</v>
      </c>
      <c r="B4291" t="str">
        <f>"EHPAD LES MAGNOLIAS"</f>
        <v>EHPAD LES MAGNOLIAS</v>
      </c>
      <c r="C4291" t="s">
        <v>68</v>
      </c>
    </row>
    <row r="4292" spans="1:3" x14ac:dyDescent="0.25">
      <c r="A4292" t="str">
        <f>"590037768"</f>
        <v>590037768</v>
      </c>
      <c r="B4292" t="str">
        <f>"EHPAD GENEVIÈVE ET ROGER BAILLEUL"</f>
        <v>EHPAD GENEVIÈVE ET ROGER BAILLEUL</v>
      </c>
      <c r="C4292" t="s">
        <v>68</v>
      </c>
    </row>
    <row r="4293" spans="1:3" x14ac:dyDescent="0.25">
      <c r="A4293" t="str">
        <f>"590037909"</f>
        <v>590037909</v>
      </c>
      <c r="B4293" t="str">
        <f>"EHPAD LES QUATRE VENTS"</f>
        <v>EHPAD LES QUATRE VENTS</v>
      </c>
      <c r="C4293" t="s">
        <v>68</v>
      </c>
    </row>
    <row r="4294" spans="1:3" x14ac:dyDescent="0.25">
      <c r="A4294" t="str">
        <f>"590038097"</f>
        <v>590038097</v>
      </c>
      <c r="B4294" t="str">
        <f>"EHPAD RESIDENCE MARIE LAURENCIN"</f>
        <v>EHPAD RESIDENCE MARIE LAURENCIN</v>
      </c>
      <c r="C4294" t="s">
        <v>68</v>
      </c>
    </row>
    <row r="4295" spans="1:3" x14ac:dyDescent="0.25">
      <c r="A4295" t="str">
        <f>"590038238"</f>
        <v>590038238</v>
      </c>
      <c r="B4295" t="str">
        <f>"EHPAD LES GODENETTES"</f>
        <v>EHPAD LES GODENETTES</v>
      </c>
      <c r="C4295" t="s">
        <v>68</v>
      </c>
    </row>
    <row r="4296" spans="1:3" x14ac:dyDescent="0.25">
      <c r="A4296" t="str">
        <f>"590038519"</f>
        <v>590038519</v>
      </c>
      <c r="B4296" t="str">
        <f>"EHPAD MA MAISON"</f>
        <v>EHPAD MA MAISON</v>
      </c>
      <c r="C4296" t="s">
        <v>68</v>
      </c>
    </row>
    <row r="4297" spans="1:3" x14ac:dyDescent="0.25">
      <c r="A4297" t="str">
        <f>"590038568"</f>
        <v>590038568</v>
      </c>
      <c r="B4297" t="str">
        <f>"EHPAD ORPEA BERLAIMONT"</f>
        <v>EHPAD ORPEA BERLAIMONT</v>
      </c>
      <c r="C4297" t="s">
        <v>68</v>
      </c>
    </row>
    <row r="4298" spans="1:3" x14ac:dyDescent="0.25">
      <c r="A4298" t="str">
        <f>"590038899"</f>
        <v>590038899</v>
      </c>
      <c r="B4298" t="str">
        <f>"EHPAD RESIDENCE LA PIERRE BLEUE"</f>
        <v>EHPAD RESIDENCE LA PIERRE BLEUE</v>
      </c>
      <c r="C4298" t="s">
        <v>68</v>
      </c>
    </row>
    <row r="4299" spans="1:3" x14ac:dyDescent="0.25">
      <c r="A4299" t="str">
        <f>"590039467"</f>
        <v>590039467</v>
      </c>
      <c r="B4299" t="str">
        <f>"EHPAD INTERCOMMUNALE  'LA CERISAIE'"</f>
        <v>EHPAD INTERCOMMUNALE  'LA CERISAIE'</v>
      </c>
      <c r="C4299" t="s">
        <v>68</v>
      </c>
    </row>
    <row r="4300" spans="1:3" x14ac:dyDescent="0.25">
      <c r="A4300" t="str">
        <f>"590039475"</f>
        <v>590039475</v>
      </c>
      <c r="B4300" t="str">
        <f>"PETITE UNITE DE VIE MARIA SCHEPMAN"</f>
        <v>PETITE UNITE DE VIE MARIA SCHEPMAN</v>
      </c>
      <c r="C4300" t="s">
        <v>68</v>
      </c>
    </row>
    <row r="4301" spans="1:3" x14ac:dyDescent="0.25">
      <c r="A4301" t="str">
        <f>"590039640"</f>
        <v>590039640</v>
      </c>
      <c r="B4301" t="str">
        <f>"EHPAD LOUIS PASTEUR"</f>
        <v>EHPAD LOUIS PASTEUR</v>
      </c>
      <c r="C4301" t="s">
        <v>68</v>
      </c>
    </row>
    <row r="4302" spans="1:3" x14ac:dyDescent="0.25">
      <c r="A4302" t="str">
        <f>"590039798"</f>
        <v>590039798</v>
      </c>
      <c r="B4302" t="str">
        <f>"EHPAD RESIDENCES LES EDELWEISS"</f>
        <v>EHPAD RESIDENCES LES EDELWEISS</v>
      </c>
      <c r="C4302" t="s">
        <v>68</v>
      </c>
    </row>
    <row r="4303" spans="1:3" x14ac:dyDescent="0.25">
      <c r="A4303" t="str">
        <f>"590039822"</f>
        <v>590039822</v>
      </c>
      <c r="B4303" t="str">
        <f>"EHPAD LE JARDIN DES AUGUSTINS"</f>
        <v>EHPAD LE JARDIN DES AUGUSTINS</v>
      </c>
      <c r="C4303" t="s">
        <v>68</v>
      </c>
    </row>
    <row r="4304" spans="1:3" x14ac:dyDescent="0.25">
      <c r="A4304" t="str">
        <f>"590039889"</f>
        <v>590039889</v>
      </c>
      <c r="B4304" t="str">
        <f>"EHPAD LES ROSES"</f>
        <v>EHPAD LES ROSES</v>
      </c>
      <c r="C4304" t="s">
        <v>68</v>
      </c>
    </row>
    <row r="4305" spans="1:3" x14ac:dyDescent="0.25">
      <c r="A4305" t="str">
        <f>"590043048"</f>
        <v>590043048</v>
      </c>
      <c r="B4305" t="str">
        <f>"EHPAD ARTHUR FRANCOIS"</f>
        <v>EHPAD ARTHUR FRANCOIS</v>
      </c>
      <c r="C4305" t="s">
        <v>68</v>
      </c>
    </row>
    <row r="4306" spans="1:3" x14ac:dyDescent="0.25">
      <c r="A4306" t="str">
        <f>"590043253"</f>
        <v>590043253</v>
      </c>
      <c r="B4306" t="str">
        <f>"EHPAD HENRI BARBUSSE"</f>
        <v>EHPAD HENRI BARBUSSE</v>
      </c>
      <c r="C4306" t="s">
        <v>68</v>
      </c>
    </row>
    <row r="4307" spans="1:3" x14ac:dyDescent="0.25">
      <c r="A4307" t="str">
        <f>"590043261"</f>
        <v>590043261</v>
      </c>
      <c r="B4307" t="str">
        <f>"EHPAD LA MAISON DU PAYS DE COUSOLRE"</f>
        <v>EHPAD LA MAISON DU PAYS DE COUSOLRE</v>
      </c>
      <c r="C4307" t="s">
        <v>68</v>
      </c>
    </row>
    <row r="4308" spans="1:3" x14ac:dyDescent="0.25">
      <c r="A4308" t="str">
        <f>"590044103"</f>
        <v>590044103</v>
      </c>
      <c r="B4308" t="str">
        <f>"EHPAD DOUX SEJOUR"</f>
        <v>EHPAD DOUX SEJOUR</v>
      </c>
      <c r="C4308" t="s">
        <v>68</v>
      </c>
    </row>
    <row r="4309" spans="1:3" x14ac:dyDescent="0.25">
      <c r="A4309" t="str">
        <f>"590044236"</f>
        <v>590044236</v>
      </c>
      <c r="B4309" t="str">
        <f>"PETITE UNITE DE VIE DES CANONNIERS"</f>
        <v>PETITE UNITE DE VIE DES CANONNIERS</v>
      </c>
      <c r="C4309" t="s">
        <v>68</v>
      </c>
    </row>
    <row r="4310" spans="1:3" x14ac:dyDescent="0.25">
      <c r="A4310" t="str">
        <f>"590045118"</f>
        <v>590045118</v>
      </c>
      <c r="B4310" t="str">
        <f>"ACCUEIL DE JOUR 'L'ESCALE DU BONHEUR'"</f>
        <v>ACCUEIL DE JOUR 'L'ESCALE DU BONHEUR'</v>
      </c>
      <c r="C4310" t="s">
        <v>68</v>
      </c>
    </row>
    <row r="4311" spans="1:3" x14ac:dyDescent="0.25">
      <c r="A4311" t="str">
        <f>"590045241"</f>
        <v>590045241</v>
      </c>
      <c r="B4311" t="str">
        <f>"RESIDENCE NOËL LEDUC"</f>
        <v>RESIDENCE NOËL LEDUC</v>
      </c>
      <c r="C4311" t="s">
        <v>68</v>
      </c>
    </row>
    <row r="4312" spans="1:3" x14ac:dyDescent="0.25">
      <c r="A4312" t="str">
        <f>"590045332"</f>
        <v>590045332</v>
      </c>
      <c r="B4312" t="str">
        <f>"EHPAD LES AIRELLES"</f>
        <v>EHPAD LES AIRELLES</v>
      </c>
      <c r="C4312" t="s">
        <v>68</v>
      </c>
    </row>
    <row r="4313" spans="1:3" x14ac:dyDescent="0.25">
      <c r="A4313" t="str">
        <f>"590045340"</f>
        <v>590045340</v>
      </c>
      <c r="B4313" t="str">
        <f>"EHPAD DE SEBOURG"</f>
        <v>EHPAD DE SEBOURG</v>
      </c>
      <c r="C4313" t="s">
        <v>68</v>
      </c>
    </row>
    <row r="4314" spans="1:3" x14ac:dyDescent="0.25">
      <c r="A4314" t="str">
        <f>"590045365"</f>
        <v>590045365</v>
      </c>
      <c r="B4314" t="str">
        <f>"EHPAD ORPEA LE TREFLE D ARGENT"</f>
        <v>EHPAD ORPEA LE TREFLE D ARGENT</v>
      </c>
      <c r="C4314" t="s">
        <v>68</v>
      </c>
    </row>
    <row r="4315" spans="1:3" x14ac:dyDescent="0.25">
      <c r="A4315" t="str">
        <f>"590045423"</f>
        <v>590045423</v>
      </c>
      <c r="B4315" t="str">
        <f>"EHPAD VAL D'ESCAUT"</f>
        <v>EHPAD VAL D'ESCAUT</v>
      </c>
      <c r="C4315" t="s">
        <v>68</v>
      </c>
    </row>
    <row r="4316" spans="1:3" x14ac:dyDescent="0.25">
      <c r="A4316" t="str">
        <f>"590045605"</f>
        <v>590045605</v>
      </c>
      <c r="B4316" t="str">
        <f>"EHPAD RESIDENCE LES CYGNES"</f>
        <v>EHPAD RESIDENCE LES CYGNES</v>
      </c>
      <c r="C4316" t="s">
        <v>68</v>
      </c>
    </row>
    <row r="4317" spans="1:3" x14ac:dyDescent="0.25">
      <c r="A4317" t="str">
        <f>"590045613"</f>
        <v>590045613</v>
      </c>
      <c r="B4317" t="str">
        <f>"RES LE VAL DE ROSES-PUV LES EGLANTINES"</f>
        <v>RES LE VAL DE ROSES-PUV LES EGLANTINES</v>
      </c>
      <c r="C4317" t="s">
        <v>68</v>
      </c>
    </row>
    <row r="4318" spans="1:3" x14ac:dyDescent="0.25">
      <c r="A4318" t="str">
        <f>"590045894"</f>
        <v>590045894</v>
      </c>
      <c r="B4318" t="str">
        <f>"EHPAD VAILLANT COUTURIER"</f>
        <v>EHPAD VAILLANT COUTURIER</v>
      </c>
      <c r="C4318" t="s">
        <v>68</v>
      </c>
    </row>
    <row r="4319" spans="1:3" x14ac:dyDescent="0.25">
      <c r="A4319" t="str">
        <f>"590046793"</f>
        <v>590046793</v>
      </c>
      <c r="B4319" t="str">
        <f>"EHPAD DU FAUBOURG DE LILLE"</f>
        <v>EHPAD DU FAUBOURG DE LILLE</v>
      </c>
      <c r="C4319" t="s">
        <v>68</v>
      </c>
    </row>
    <row r="4320" spans="1:3" x14ac:dyDescent="0.25">
      <c r="A4320" t="str">
        <f>"590046801"</f>
        <v>590046801</v>
      </c>
      <c r="B4320" t="str">
        <f>"EHPAD RESIDENCE LES MULQUINIERS"</f>
        <v>EHPAD RESIDENCE LES MULQUINIERS</v>
      </c>
      <c r="C4320" t="s">
        <v>68</v>
      </c>
    </row>
    <row r="4321" spans="1:3" x14ac:dyDescent="0.25">
      <c r="A4321" t="str">
        <f>"590046819"</f>
        <v>590046819</v>
      </c>
      <c r="B4321" t="str">
        <f>"EHPAD RESIDENCE LA ROSELIERE"</f>
        <v>EHPAD RESIDENCE LA ROSELIERE</v>
      </c>
      <c r="C4321" t="s">
        <v>68</v>
      </c>
    </row>
    <row r="4322" spans="1:3" x14ac:dyDescent="0.25">
      <c r="A4322" t="str">
        <f>"590046827"</f>
        <v>590046827</v>
      </c>
      <c r="B4322" t="str">
        <f>"EHPAD LES COQUELICOTS"</f>
        <v>EHPAD LES COQUELICOTS</v>
      </c>
      <c r="C4322" t="s">
        <v>68</v>
      </c>
    </row>
    <row r="4323" spans="1:3" x14ac:dyDescent="0.25">
      <c r="A4323" t="str">
        <f>"590046934"</f>
        <v>590046934</v>
      </c>
      <c r="B4323" t="str">
        <f>"EHPAD LES JARDINS D'IROISE"</f>
        <v>EHPAD LES JARDINS D'IROISE</v>
      </c>
      <c r="C4323" t="s">
        <v>68</v>
      </c>
    </row>
    <row r="4324" spans="1:3" x14ac:dyDescent="0.25">
      <c r="A4324" t="str">
        <f>"590046983"</f>
        <v>590046983</v>
      </c>
      <c r="B4324" t="str">
        <f>"EHPAD LES TERRASSES DE LA SCARPE"</f>
        <v>EHPAD LES TERRASSES DE LA SCARPE</v>
      </c>
      <c r="C4324" t="s">
        <v>68</v>
      </c>
    </row>
    <row r="4325" spans="1:3" x14ac:dyDescent="0.25">
      <c r="A4325" t="str">
        <f>"590046991"</f>
        <v>590046991</v>
      </c>
      <c r="B4325" t="str">
        <f>"EHPAD SAINT FRANÇOIS DE SALES"</f>
        <v>EHPAD SAINT FRANÇOIS DE SALES</v>
      </c>
      <c r="C4325" t="s">
        <v>68</v>
      </c>
    </row>
    <row r="4326" spans="1:3" x14ac:dyDescent="0.25">
      <c r="A4326" t="str">
        <f>"590047023"</f>
        <v>590047023</v>
      </c>
      <c r="B4326" t="str">
        <f>"EHPAD LES JARDINS DES SENS"</f>
        <v>EHPAD LES JARDINS DES SENS</v>
      </c>
      <c r="C4326" t="s">
        <v>68</v>
      </c>
    </row>
    <row r="4327" spans="1:3" x14ac:dyDescent="0.25">
      <c r="A4327" t="str">
        <f>"590047072"</f>
        <v>590047072</v>
      </c>
      <c r="B4327" t="str">
        <f>"EHPAD EPSM DES FLANDRES"</f>
        <v>EHPAD EPSM DES FLANDRES</v>
      </c>
      <c r="C4327" t="s">
        <v>68</v>
      </c>
    </row>
    <row r="4328" spans="1:3" x14ac:dyDescent="0.25">
      <c r="A4328" t="str">
        <f>"590047700"</f>
        <v>590047700</v>
      </c>
      <c r="B4328" t="str">
        <f>"EHPAD KORIAN SAMARA"</f>
        <v>EHPAD KORIAN SAMARA</v>
      </c>
      <c r="C4328" t="s">
        <v>68</v>
      </c>
    </row>
    <row r="4329" spans="1:3" x14ac:dyDescent="0.25">
      <c r="A4329" t="str">
        <f>"590047833"</f>
        <v>590047833</v>
      </c>
      <c r="B4329" t="str">
        <f>"EHPAD KORIAN BORDS DE LA MARQUE"</f>
        <v>EHPAD KORIAN BORDS DE LA MARQUE</v>
      </c>
      <c r="C4329" t="s">
        <v>68</v>
      </c>
    </row>
    <row r="4330" spans="1:3" x14ac:dyDescent="0.25">
      <c r="A4330" t="str">
        <f>"590048021"</f>
        <v>590048021</v>
      </c>
      <c r="B4330" t="str">
        <f>"EHPAD LES BATELIERS CHU DE LILLE"</f>
        <v>EHPAD LES BATELIERS CHU DE LILLE</v>
      </c>
      <c r="C4330" t="s">
        <v>68</v>
      </c>
    </row>
    <row r="4331" spans="1:3" x14ac:dyDescent="0.25">
      <c r="A4331" t="str">
        <f>"590048039"</f>
        <v>590048039</v>
      </c>
      <c r="B4331" t="str">
        <f>"EHPAD ISABEAU DE ROUBAIX"</f>
        <v>EHPAD ISABEAU DE ROUBAIX</v>
      </c>
      <c r="C4331" t="s">
        <v>68</v>
      </c>
    </row>
    <row r="4332" spans="1:3" x14ac:dyDescent="0.25">
      <c r="A4332" t="str">
        <f>"590048054"</f>
        <v>590048054</v>
      </c>
      <c r="B4332" t="str">
        <f>"EHPAD RESIDENCE SOMANIA"</f>
        <v>EHPAD RESIDENCE SOMANIA</v>
      </c>
      <c r="C4332" t="s">
        <v>68</v>
      </c>
    </row>
    <row r="4333" spans="1:3" x14ac:dyDescent="0.25">
      <c r="A4333" t="str">
        <f>"590048062"</f>
        <v>590048062</v>
      </c>
      <c r="B4333" t="str">
        <f>"EHPAD RÉSIDENCE MAHAUT DE GUISNE"</f>
        <v>EHPAD RÉSIDENCE MAHAUT DE GUISNE</v>
      </c>
      <c r="C4333" t="s">
        <v>68</v>
      </c>
    </row>
    <row r="4334" spans="1:3" x14ac:dyDescent="0.25">
      <c r="A4334" t="str">
        <f>"590048070"</f>
        <v>590048070</v>
      </c>
      <c r="B4334" t="str">
        <f>"EHPAD RESIDENCE LE MOLINEL"</f>
        <v>EHPAD RESIDENCE LE MOLINEL</v>
      </c>
      <c r="C4334" t="s">
        <v>68</v>
      </c>
    </row>
    <row r="4335" spans="1:3" x14ac:dyDescent="0.25">
      <c r="A4335" t="str">
        <f>"590048088"</f>
        <v>590048088</v>
      </c>
      <c r="B4335" t="str">
        <f>"EHPAD PAVILLON SAINT JULIEN"</f>
        <v>EHPAD PAVILLON SAINT JULIEN</v>
      </c>
      <c r="C4335" t="s">
        <v>68</v>
      </c>
    </row>
    <row r="4336" spans="1:3" x14ac:dyDescent="0.25">
      <c r="A4336" t="str">
        <f>"590048104"</f>
        <v>590048104</v>
      </c>
      <c r="B4336" t="str">
        <f>"EHPAD LA FRATERNITE"</f>
        <v>EHPAD LA FRATERNITE</v>
      </c>
      <c r="C4336" t="s">
        <v>68</v>
      </c>
    </row>
    <row r="4337" spans="1:3" x14ac:dyDescent="0.25">
      <c r="A4337" t="str">
        <f>"590048112"</f>
        <v>590048112</v>
      </c>
      <c r="B4337" t="str">
        <f>"EHPAD JARDINS DU VELODROME"</f>
        <v>EHPAD JARDINS DU VELODROME</v>
      </c>
      <c r="C4337" t="s">
        <v>68</v>
      </c>
    </row>
    <row r="4338" spans="1:3" x14ac:dyDescent="0.25">
      <c r="A4338" t="str">
        <f>"590048120"</f>
        <v>590048120</v>
      </c>
      <c r="B4338" t="str">
        <f>"EHPAD FILIERIS LA PLAINE DE SCARPE"</f>
        <v>EHPAD FILIERIS LA PLAINE DE SCARPE</v>
      </c>
      <c r="C4338" t="s">
        <v>68</v>
      </c>
    </row>
    <row r="4339" spans="1:3" x14ac:dyDescent="0.25">
      <c r="A4339" t="str">
        <f>"590048294"</f>
        <v>590048294</v>
      </c>
      <c r="B4339" t="str">
        <f>"PETITE UNITÉ DE VIE MAISON DES DUNES"</f>
        <v>PETITE UNITÉ DE VIE MAISON DES DUNES</v>
      </c>
      <c r="C4339" t="s">
        <v>68</v>
      </c>
    </row>
    <row r="4340" spans="1:3" x14ac:dyDescent="0.25">
      <c r="A4340" t="str">
        <f>"590049037"</f>
        <v>590049037</v>
      </c>
      <c r="B4340" t="str">
        <f>"EHPAD RESIDENCE LES CHENES"</f>
        <v>EHPAD RESIDENCE LES CHENES</v>
      </c>
      <c r="C4340" t="s">
        <v>68</v>
      </c>
    </row>
    <row r="4341" spans="1:3" x14ac:dyDescent="0.25">
      <c r="A4341" t="str">
        <f>"590049698"</f>
        <v>590049698</v>
      </c>
      <c r="B4341" t="str">
        <f>"EHPAD RESIDENCE LA DENTELLIERE"</f>
        <v>EHPAD RESIDENCE LA DENTELLIERE</v>
      </c>
      <c r="C4341" t="s">
        <v>68</v>
      </c>
    </row>
    <row r="4342" spans="1:3" x14ac:dyDescent="0.25">
      <c r="A4342" t="str">
        <f>"590049904"</f>
        <v>590049904</v>
      </c>
      <c r="B4342" t="str">
        <f>"EHPAD DES HORTENSIAS"</f>
        <v>EHPAD DES HORTENSIAS</v>
      </c>
      <c r="C4342" t="s">
        <v>68</v>
      </c>
    </row>
    <row r="4343" spans="1:3" x14ac:dyDescent="0.25">
      <c r="A4343" t="str">
        <f>"590050340"</f>
        <v>590050340</v>
      </c>
      <c r="B4343" t="str">
        <f>"EHPAD RESIDENCE LES MAISONNÉES"</f>
        <v>EHPAD RESIDENCE LES MAISONNÉES</v>
      </c>
      <c r="C4343" t="s">
        <v>68</v>
      </c>
    </row>
    <row r="4344" spans="1:3" x14ac:dyDescent="0.25">
      <c r="A4344" t="str">
        <f>"590055406"</f>
        <v>590055406</v>
      </c>
      <c r="B4344" t="str">
        <f>"RÉSIDENCE LES COTONNIÈRES LOOS"</f>
        <v>RÉSIDENCE LES COTONNIÈRES LOOS</v>
      </c>
      <c r="C4344" t="s">
        <v>68</v>
      </c>
    </row>
    <row r="4345" spans="1:3" x14ac:dyDescent="0.25">
      <c r="A4345" t="str">
        <f>"590057006"</f>
        <v>590057006</v>
      </c>
      <c r="B4345" t="str">
        <f>"EHPAD LA RITOURNELLE"</f>
        <v>EHPAD LA RITOURNELLE</v>
      </c>
      <c r="C4345" t="s">
        <v>68</v>
      </c>
    </row>
    <row r="4346" spans="1:3" x14ac:dyDescent="0.25">
      <c r="A4346" t="str">
        <f>"590057527"</f>
        <v>590057527</v>
      </c>
      <c r="B4346" t="str">
        <f>"UNITE DE VIE ALZHEIMER HIPPOCAMPE"</f>
        <v>UNITE DE VIE ALZHEIMER HIPPOCAMPE</v>
      </c>
      <c r="C4346" t="s">
        <v>68</v>
      </c>
    </row>
    <row r="4347" spans="1:3" x14ac:dyDescent="0.25">
      <c r="A4347" t="str">
        <f>"590059325"</f>
        <v>590059325</v>
      </c>
      <c r="B4347" t="str">
        <f>"RES LE VAL DE ROSES - PUV LA ROSERAIE"</f>
        <v>RES LE VAL DE ROSES - PUV LA ROSERAIE</v>
      </c>
      <c r="C4347" t="s">
        <v>68</v>
      </c>
    </row>
    <row r="4348" spans="1:3" x14ac:dyDescent="0.25">
      <c r="A4348" t="str">
        <f>"590060927"</f>
        <v>590060927</v>
      </c>
      <c r="B4348" t="str">
        <f>"BTP RETRAITE"</f>
        <v>BTP RETRAITE</v>
      </c>
      <c r="C4348" t="s">
        <v>68</v>
      </c>
    </row>
    <row r="4349" spans="1:3" x14ac:dyDescent="0.25">
      <c r="A4349" t="str">
        <f>"590062584"</f>
        <v>590062584</v>
      </c>
      <c r="B4349" t="str">
        <f>"EHPAD RÉSIDENCE DE LA PÉVÈLE"</f>
        <v>EHPAD RÉSIDENCE DE LA PÉVÈLE</v>
      </c>
      <c r="C4349" t="s">
        <v>68</v>
      </c>
    </row>
    <row r="4350" spans="1:3" x14ac:dyDescent="0.25">
      <c r="A4350" t="str">
        <f>"590782702"</f>
        <v>590782702</v>
      </c>
      <c r="B4350" t="str">
        <f>"EHPAD RESIDENCE DELIOT"</f>
        <v>EHPAD RESIDENCE DELIOT</v>
      </c>
      <c r="C4350" t="s">
        <v>68</v>
      </c>
    </row>
    <row r="4351" spans="1:3" x14ac:dyDescent="0.25">
      <c r="A4351" t="str">
        <f>"590782744"</f>
        <v>590782744</v>
      </c>
      <c r="B4351" t="str">
        <f>"EHPAD BARONNIE DU VAL DE LYS"</f>
        <v>EHPAD BARONNIE DU VAL DE LYS</v>
      </c>
      <c r="C4351" t="s">
        <v>68</v>
      </c>
    </row>
    <row r="4352" spans="1:3" x14ac:dyDescent="0.25">
      <c r="A4352" t="str">
        <f>"590782751"</f>
        <v>590782751</v>
      </c>
      <c r="B4352" t="str">
        <f>"EHPAD LES CHARMILLES"</f>
        <v>EHPAD LES CHARMILLES</v>
      </c>
      <c r="C4352" t="s">
        <v>68</v>
      </c>
    </row>
    <row r="4353" spans="1:3" x14ac:dyDescent="0.25">
      <c r="A4353" t="str">
        <f>"590782769"</f>
        <v>590782769</v>
      </c>
      <c r="B4353" t="str">
        <f>"EHPAD RESIDENCE HENRY BOUCHERY"</f>
        <v>EHPAD RESIDENCE HENRY BOUCHERY</v>
      </c>
      <c r="C4353" t="s">
        <v>68</v>
      </c>
    </row>
    <row r="4354" spans="1:3" x14ac:dyDescent="0.25">
      <c r="A4354" t="str">
        <f>"590782777"</f>
        <v>590782777</v>
      </c>
      <c r="B4354" t="str">
        <f>"EHPAD RESIDENCE PONT BERTIN"</f>
        <v>EHPAD RESIDENCE PONT BERTIN</v>
      </c>
      <c r="C4354" t="s">
        <v>68</v>
      </c>
    </row>
    <row r="4355" spans="1:3" x14ac:dyDescent="0.25">
      <c r="A4355" t="str">
        <f>"590782785"</f>
        <v>590782785</v>
      </c>
      <c r="B4355" t="str">
        <f>"EHPAD RESIDENCE DE  BEAUPRE"</f>
        <v>EHPAD RESIDENCE DE  BEAUPRE</v>
      </c>
      <c r="C4355" t="s">
        <v>68</v>
      </c>
    </row>
    <row r="4356" spans="1:3" x14ac:dyDescent="0.25">
      <c r="A4356" t="str">
        <f>"590782793"</f>
        <v>590782793</v>
      </c>
      <c r="B4356" t="str">
        <f>"EHPAD FONDATION H. DELERUE"</f>
        <v>EHPAD FONDATION H. DELERUE</v>
      </c>
      <c r="C4356" t="s">
        <v>68</v>
      </c>
    </row>
    <row r="4357" spans="1:3" x14ac:dyDescent="0.25">
      <c r="A4357" t="str">
        <f>"590782801"</f>
        <v>590782801</v>
      </c>
      <c r="B4357" t="str">
        <f>"EHPAD LEON DUHAMEL"</f>
        <v>EHPAD LEON DUHAMEL</v>
      </c>
      <c r="C4357" t="s">
        <v>68</v>
      </c>
    </row>
    <row r="4358" spans="1:3" x14ac:dyDescent="0.25">
      <c r="A4358" t="str">
        <f>"590782819"</f>
        <v>590782819</v>
      </c>
      <c r="B4358" t="str">
        <f>"EHPAD RESIDENCE L'AUBEPINE"</f>
        <v>EHPAD RESIDENCE L'AUBEPINE</v>
      </c>
      <c r="C4358" t="s">
        <v>68</v>
      </c>
    </row>
    <row r="4359" spans="1:3" x14ac:dyDescent="0.25">
      <c r="A4359" t="str">
        <f>"590782827"</f>
        <v>590782827</v>
      </c>
      <c r="B4359" t="str">
        <f>"EHPAD LIEVIN PETITPREZ"</f>
        <v>EHPAD LIEVIN PETITPREZ</v>
      </c>
      <c r="C4359" t="s">
        <v>68</v>
      </c>
    </row>
    <row r="4360" spans="1:3" x14ac:dyDescent="0.25">
      <c r="A4360" t="str">
        <f>"590782835"</f>
        <v>590782835</v>
      </c>
      <c r="B4360" t="str">
        <f>"EHPAD RESIDENCE MARGUERITE DE FLANDRE"</f>
        <v>EHPAD RESIDENCE MARGUERITE DE FLANDRE</v>
      </c>
      <c r="C4360" t="s">
        <v>68</v>
      </c>
    </row>
    <row r="4361" spans="1:3" x14ac:dyDescent="0.25">
      <c r="A4361" t="str">
        <f>"590782843"</f>
        <v>590782843</v>
      </c>
      <c r="B4361" t="str">
        <f>"EHPAD LES MYOSOTIS"</f>
        <v>EHPAD LES MYOSOTIS</v>
      </c>
      <c r="C4361" t="s">
        <v>68</v>
      </c>
    </row>
    <row r="4362" spans="1:3" x14ac:dyDescent="0.25">
      <c r="A4362" t="str">
        <f>"590782850"</f>
        <v>590782850</v>
      </c>
      <c r="B4362" t="str">
        <f>"EHPAD RESIDENCE ABBE LEFRANCOIS"</f>
        <v>EHPAD RESIDENCE ABBE LEFRANCOIS</v>
      </c>
      <c r="C4362" t="s">
        <v>68</v>
      </c>
    </row>
    <row r="4363" spans="1:3" x14ac:dyDescent="0.25">
      <c r="A4363" t="str">
        <f>"590782868"</f>
        <v>590782868</v>
      </c>
      <c r="B4363" t="str">
        <f>"EHPAD RESIDENCE DU PLESSY"</f>
        <v>EHPAD RESIDENCE DU PLESSY</v>
      </c>
      <c r="C4363" t="s">
        <v>68</v>
      </c>
    </row>
    <row r="4364" spans="1:3" x14ac:dyDescent="0.25">
      <c r="A4364" t="str">
        <f>"590782926"</f>
        <v>590782926</v>
      </c>
      <c r="B4364" t="str">
        <f>"EHPAD LA ROSEMAY"</f>
        <v>EHPAD LA ROSEMAY</v>
      </c>
      <c r="C4364" t="s">
        <v>68</v>
      </c>
    </row>
    <row r="4365" spans="1:3" x14ac:dyDescent="0.25">
      <c r="A4365" t="str">
        <f>"590782991"</f>
        <v>590782991</v>
      </c>
      <c r="B4365" t="str">
        <f>"EHPAD FLEUR DE LIN - LES 3 ROIS"</f>
        <v>EHPAD FLEUR DE LIN - LES 3 ROIS</v>
      </c>
      <c r="C4365" t="s">
        <v>68</v>
      </c>
    </row>
    <row r="4366" spans="1:3" x14ac:dyDescent="0.25">
      <c r="A4366" t="str">
        <f>"590783247"</f>
        <v>590783247</v>
      </c>
      <c r="B4366" t="str">
        <f>"EHPAD LES JARDINS ARGENTES"</f>
        <v>EHPAD LES JARDINS ARGENTES</v>
      </c>
      <c r="C4366" t="s">
        <v>68</v>
      </c>
    </row>
    <row r="4367" spans="1:3" x14ac:dyDescent="0.25">
      <c r="A4367" t="str">
        <f>"590783254"</f>
        <v>590783254</v>
      </c>
      <c r="B4367" t="str">
        <f>"EHPAD RESIDENCE DOUX SEJOUR"</f>
        <v>EHPAD RESIDENCE DOUX SEJOUR</v>
      </c>
      <c r="C4367" t="s">
        <v>68</v>
      </c>
    </row>
    <row r="4368" spans="1:3" x14ac:dyDescent="0.25">
      <c r="A4368" t="str">
        <f>"590783262"</f>
        <v>590783262</v>
      </c>
      <c r="B4368" t="str">
        <f>"EHPAD VILLA SENECTA"</f>
        <v>EHPAD VILLA SENECTA</v>
      </c>
      <c r="C4368" t="s">
        <v>68</v>
      </c>
    </row>
    <row r="4369" spans="1:3" x14ac:dyDescent="0.25">
      <c r="A4369" t="str">
        <f>"590783270"</f>
        <v>590783270</v>
      </c>
      <c r="B4369" t="str">
        <f>"EHPAD RESIDENCE LE CLOS DU MOULIN"</f>
        <v>EHPAD RESIDENCE LE CLOS DU MOULIN</v>
      </c>
      <c r="C4369" t="s">
        <v>68</v>
      </c>
    </row>
    <row r="4370" spans="1:3" x14ac:dyDescent="0.25">
      <c r="A4370" t="str">
        <f>"590783288"</f>
        <v>590783288</v>
      </c>
      <c r="B4370" t="str">
        <f>"EHPAD RESIDENCE SAINT-LOUIS"</f>
        <v>EHPAD RESIDENCE SAINT-LOUIS</v>
      </c>
      <c r="C4370" t="s">
        <v>68</v>
      </c>
    </row>
    <row r="4371" spans="1:3" x14ac:dyDescent="0.25">
      <c r="A4371" t="str">
        <f>"590783296"</f>
        <v>590783296</v>
      </c>
      <c r="B4371" t="str">
        <f>"EHPAD ALBERT DU BOSQUIEL"</f>
        <v>EHPAD ALBERT DU BOSQUIEL</v>
      </c>
      <c r="C4371" t="s">
        <v>68</v>
      </c>
    </row>
    <row r="4372" spans="1:3" x14ac:dyDescent="0.25">
      <c r="A4372" t="str">
        <f>"590783304"</f>
        <v>590783304</v>
      </c>
      <c r="B4372" t="str">
        <f>"EHPAD DRONSART"</f>
        <v>EHPAD DRONSART</v>
      </c>
      <c r="C4372" t="s">
        <v>68</v>
      </c>
    </row>
    <row r="4373" spans="1:3" x14ac:dyDescent="0.25">
      <c r="A4373" t="str">
        <f>"590783312"</f>
        <v>590783312</v>
      </c>
      <c r="B4373" t="str">
        <f>"EHPAD OLIVIER VARLET"</f>
        <v>EHPAD OLIVIER VARLET</v>
      </c>
      <c r="C4373" t="s">
        <v>68</v>
      </c>
    </row>
    <row r="4374" spans="1:3" x14ac:dyDescent="0.25">
      <c r="A4374" t="str">
        <f>"590783338"</f>
        <v>590783338</v>
      </c>
      <c r="B4374" t="str">
        <f>"EHPAD RESIDENCE AIGUE MARINE"</f>
        <v>EHPAD RESIDENCE AIGUE MARINE</v>
      </c>
      <c r="C4374" t="s">
        <v>68</v>
      </c>
    </row>
    <row r="4375" spans="1:3" x14ac:dyDescent="0.25">
      <c r="A4375" t="str">
        <f>"590783346"</f>
        <v>590783346</v>
      </c>
      <c r="B4375" t="str">
        <f>"EHPAD RESIDENCE DES HAUTS DE FLANDRE"</f>
        <v>EHPAD RESIDENCE DES HAUTS DE FLANDRE</v>
      </c>
      <c r="C4375" t="s">
        <v>68</v>
      </c>
    </row>
    <row r="4376" spans="1:3" x14ac:dyDescent="0.25">
      <c r="A4376" t="str">
        <f>"590783353"</f>
        <v>590783353</v>
      </c>
      <c r="B4376" t="str">
        <f>"EHPAD DU PAYS DE CONDE"</f>
        <v>EHPAD DU PAYS DE CONDE</v>
      </c>
      <c r="C4376" t="s">
        <v>68</v>
      </c>
    </row>
    <row r="4377" spans="1:3" x14ac:dyDescent="0.25">
      <c r="A4377" t="str">
        <f>"590783361"</f>
        <v>590783361</v>
      </c>
      <c r="B4377" t="str">
        <f>"EHPAD RESIDENCE LES OGIERS"</f>
        <v>EHPAD RESIDENCE LES OGIERS</v>
      </c>
      <c r="C4377" t="s">
        <v>68</v>
      </c>
    </row>
    <row r="4378" spans="1:3" x14ac:dyDescent="0.25">
      <c r="A4378" t="str">
        <f>"590783395"</f>
        <v>590783395</v>
      </c>
      <c r="B4378" t="str">
        <f>"EHPAD RESIDENCE DU VAL D'YSER"</f>
        <v>EHPAD RESIDENCE DU VAL D'YSER</v>
      </c>
      <c r="C4378" t="s">
        <v>68</v>
      </c>
    </row>
    <row r="4379" spans="1:3" x14ac:dyDescent="0.25">
      <c r="A4379" t="str">
        <f>"590783411"</f>
        <v>590783411</v>
      </c>
      <c r="B4379" t="str">
        <f>"EHPAD L'OREE DU MONT"</f>
        <v>EHPAD L'OREE DU MONT</v>
      </c>
      <c r="C4379" t="s">
        <v>68</v>
      </c>
    </row>
    <row r="4380" spans="1:3" x14ac:dyDescent="0.25">
      <c r="A4380" t="str">
        <f>"590783429"</f>
        <v>590783429</v>
      </c>
      <c r="B4380" t="str">
        <f>"EHPAD RESIDENCE LES AULNES"</f>
        <v>EHPAD RESIDENCE LES AULNES</v>
      </c>
      <c r="C4380" t="s">
        <v>68</v>
      </c>
    </row>
    <row r="4381" spans="1:3" x14ac:dyDescent="0.25">
      <c r="A4381" t="str">
        <f>"590783437"</f>
        <v>590783437</v>
      </c>
      <c r="B4381" t="str">
        <f>"EHPAD AMITIES D'AUTOMNE"</f>
        <v>EHPAD AMITIES D'AUTOMNE</v>
      </c>
      <c r="C4381" t="s">
        <v>68</v>
      </c>
    </row>
    <row r="4382" spans="1:3" x14ac:dyDescent="0.25">
      <c r="A4382" t="str">
        <f>"590783445"</f>
        <v>590783445</v>
      </c>
      <c r="B4382" t="str">
        <f>"EHPAD PAYS DE MORMAL DE LANDRECIES"</f>
        <v>EHPAD PAYS DE MORMAL DE LANDRECIES</v>
      </c>
      <c r="C4382" t="s">
        <v>68</v>
      </c>
    </row>
    <row r="4383" spans="1:3" x14ac:dyDescent="0.25">
      <c r="A4383" t="str">
        <f>"590783460"</f>
        <v>590783460</v>
      </c>
      <c r="B4383" t="str">
        <f>"EHPAD GILBERT FORESTIER"</f>
        <v>EHPAD GILBERT FORESTIER</v>
      </c>
      <c r="C4383" t="s">
        <v>68</v>
      </c>
    </row>
    <row r="4384" spans="1:3" x14ac:dyDescent="0.25">
      <c r="A4384" t="str">
        <f>"590783478"</f>
        <v>590783478</v>
      </c>
      <c r="B4384" t="str">
        <f>"EHPAD EMILE DUBOIS"</f>
        <v>EHPAD EMILE DUBOIS</v>
      </c>
      <c r="C4384" t="s">
        <v>68</v>
      </c>
    </row>
    <row r="4385" spans="1:3" x14ac:dyDescent="0.25">
      <c r="A4385" t="str">
        <f>"590783486"</f>
        <v>590783486</v>
      </c>
      <c r="B4385" t="str">
        <f>"EHPAD LES PROVINCES DU NORD"</f>
        <v>EHPAD LES PROVINCES DU NORD</v>
      </c>
      <c r="C4385" t="s">
        <v>68</v>
      </c>
    </row>
    <row r="4386" spans="1:3" x14ac:dyDescent="0.25">
      <c r="A4386" t="str">
        <f>"590783494"</f>
        <v>590783494</v>
      </c>
      <c r="B4386" t="str">
        <f>"EHPAD RESIDENCE DEWEZ CH ST-AMAND"</f>
        <v>EHPAD RESIDENCE DEWEZ CH ST-AMAND</v>
      </c>
      <c r="C4386" t="s">
        <v>68</v>
      </c>
    </row>
    <row r="4387" spans="1:3" x14ac:dyDescent="0.25">
      <c r="A4387" t="str">
        <f>"590783502"</f>
        <v>590783502</v>
      </c>
      <c r="B4387" t="str">
        <f>"EHPAD RESIDENCE LA BELLE EPOQUE"</f>
        <v>EHPAD RESIDENCE LA BELLE EPOQUE</v>
      </c>
      <c r="C4387" t="s">
        <v>68</v>
      </c>
    </row>
    <row r="4388" spans="1:3" x14ac:dyDescent="0.25">
      <c r="A4388" t="str">
        <f>"590783510"</f>
        <v>590783510</v>
      </c>
      <c r="B4388" t="str">
        <f>"EHPAD RESIDENCE LA FLEUR DE L'AGE"</f>
        <v>EHPAD RESIDENCE LA FLEUR DE L'AGE</v>
      </c>
      <c r="C4388" t="s">
        <v>68</v>
      </c>
    </row>
    <row r="4389" spans="1:3" x14ac:dyDescent="0.25">
      <c r="A4389" t="str">
        <f>"590783536"</f>
        <v>590783536</v>
      </c>
      <c r="B4389" t="str">
        <f>"EHPAD LES LYS BLANCS"</f>
        <v>EHPAD LES LYS BLANCS</v>
      </c>
      <c r="C4389" t="s">
        <v>68</v>
      </c>
    </row>
    <row r="4390" spans="1:3" x14ac:dyDescent="0.25">
      <c r="A4390" t="str">
        <f>"590783544"</f>
        <v>590783544</v>
      </c>
      <c r="B4390" t="str">
        <f>"MAISON DE RETRAITE LA COLOMBE"</f>
        <v>MAISON DE RETRAITE LA COLOMBE</v>
      </c>
      <c r="C4390" t="s">
        <v>68</v>
      </c>
    </row>
    <row r="4391" spans="1:3" x14ac:dyDescent="0.25">
      <c r="A4391" t="str">
        <f>"590783551"</f>
        <v>590783551</v>
      </c>
      <c r="B4391" t="str">
        <f>"EHPAD RESIDENCE DE LA VIGNE"</f>
        <v>EHPAD RESIDENCE DE LA VIGNE</v>
      </c>
      <c r="C4391" t="s">
        <v>68</v>
      </c>
    </row>
    <row r="4392" spans="1:3" x14ac:dyDescent="0.25">
      <c r="A4392" t="str">
        <f>"590783569"</f>
        <v>590783569</v>
      </c>
      <c r="B4392" t="str">
        <f>"EHPAD RESIDENCE LA ROSERAIE"</f>
        <v>EHPAD RESIDENCE LA ROSERAIE</v>
      </c>
      <c r="C4392" t="s">
        <v>68</v>
      </c>
    </row>
    <row r="4393" spans="1:3" x14ac:dyDescent="0.25">
      <c r="A4393" t="str">
        <f>"590783577"</f>
        <v>590783577</v>
      </c>
      <c r="B4393" t="str">
        <f>"EHPAD RESIDENCE FLORENCE NIGHTINGALE"</f>
        <v>EHPAD RESIDENCE FLORENCE NIGHTINGALE</v>
      </c>
      <c r="C4393" t="s">
        <v>68</v>
      </c>
    </row>
    <row r="4394" spans="1:3" x14ac:dyDescent="0.25">
      <c r="A4394" t="str">
        <f>"590783585"</f>
        <v>590783585</v>
      </c>
      <c r="B4394" t="str">
        <f>"EHPAD RÉSIDENCE DE CLOOSTERMEULEN"</f>
        <v>EHPAD RÉSIDENCE DE CLOOSTERMEULEN</v>
      </c>
      <c r="C4394" t="s">
        <v>68</v>
      </c>
    </row>
    <row r="4395" spans="1:3" x14ac:dyDescent="0.25">
      <c r="A4395" t="str">
        <f>"590783601"</f>
        <v>590783601</v>
      </c>
      <c r="B4395" t="str">
        <f>"EHPAD RESIDENCE DU CHEMIN VERT"</f>
        <v>EHPAD RESIDENCE DU CHEMIN VERT</v>
      </c>
      <c r="C4395" t="s">
        <v>68</v>
      </c>
    </row>
    <row r="4396" spans="1:3" x14ac:dyDescent="0.25">
      <c r="A4396" t="str">
        <f>"590783619"</f>
        <v>590783619</v>
      </c>
      <c r="B4396" t="str">
        <f>"EHPAD RESIDENCE OBERT"</f>
        <v>EHPAD RESIDENCE OBERT</v>
      </c>
      <c r="C4396" t="s">
        <v>68</v>
      </c>
    </row>
    <row r="4397" spans="1:3" x14ac:dyDescent="0.25">
      <c r="A4397" t="str">
        <f>"590783627"</f>
        <v>590783627</v>
      </c>
      <c r="B4397" t="str">
        <f>"EHPAD LES VERTES ANNEES"</f>
        <v>EHPAD LES VERTES ANNEES</v>
      </c>
      <c r="C4397" t="s">
        <v>68</v>
      </c>
    </row>
    <row r="4398" spans="1:3" x14ac:dyDescent="0.25">
      <c r="A4398" t="str">
        <f>"590783635"</f>
        <v>590783635</v>
      </c>
      <c r="B4398" t="str">
        <f>"EHPAD RESIDENCE LE GOLF"</f>
        <v>EHPAD RESIDENCE LE GOLF</v>
      </c>
      <c r="C4398" t="s">
        <v>68</v>
      </c>
    </row>
    <row r="4399" spans="1:3" x14ac:dyDescent="0.25">
      <c r="A4399" t="str">
        <f>"590783882"</f>
        <v>590783882</v>
      </c>
      <c r="B4399" t="str">
        <f>"EHPAD RESIDENCE DU NOUVEAU MONDE"</f>
        <v>EHPAD RESIDENCE DU NOUVEAU MONDE</v>
      </c>
      <c r="C4399" t="s">
        <v>68</v>
      </c>
    </row>
    <row r="4400" spans="1:3" x14ac:dyDescent="0.25">
      <c r="A4400" t="str">
        <f>"590783965"</f>
        <v>590783965</v>
      </c>
      <c r="B4400" t="str">
        <f>"EHPAD RESIDENCE DU MOULIN D'ASCQ"</f>
        <v>EHPAD RESIDENCE DU MOULIN D'ASCQ</v>
      </c>
      <c r="C4400" t="s">
        <v>68</v>
      </c>
    </row>
    <row r="4401" spans="1:3" x14ac:dyDescent="0.25">
      <c r="A4401" t="str">
        <f>"590785721"</f>
        <v>590785721</v>
      </c>
      <c r="B4401" t="str">
        <f>"EHPAD L'ACCUEIL"</f>
        <v>EHPAD L'ACCUEIL</v>
      </c>
      <c r="C4401" t="s">
        <v>68</v>
      </c>
    </row>
    <row r="4402" spans="1:3" x14ac:dyDescent="0.25">
      <c r="A4402" t="str">
        <f>"590786976"</f>
        <v>590786976</v>
      </c>
      <c r="B4402" t="str">
        <f>"EHPAD RESIDENCE DU BRUILLE"</f>
        <v>EHPAD RESIDENCE DU BRUILLE</v>
      </c>
      <c r="C4402" t="s">
        <v>68</v>
      </c>
    </row>
    <row r="4403" spans="1:3" x14ac:dyDescent="0.25">
      <c r="A4403" t="str">
        <f>"590787255"</f>
        <v>590787255</v>
      </c>
      <c r="B4403" t="str">
        <f>"EHPAD SAINT JEAN-MARIE VIANNEY"</f>
        <v>EHPAD SAINT JEAN-MARIE VIANNEY</v>
      </c>
      <c r="C4403" t="s">
        <v>68</v>
      </c>
    </row>
    <row r="4404" spans="1:3" x14ac:dyDescent="0.25">
      <c r="A4404" t="str">
        <f>"590787271"</f>
        <v>590787271</v>
      </c>
      <c r="B4404" t="str">
        <f>"EHPAD - JARDIN D'ALLIUM"</f>
        <v>EHPAD - JARDIN D'ALLIUM</v>
      </c>
      <c r="C4404" t="s">
        <v>68</v>
      </c>
    </row>
    <row r="4405" spans="1:3" x14ac:dyDescent="0.25">
      <c r="A4405" t="str">
        <f>"590787289"</f>
        <v>590787289</v>
      </c>
      <c r="B4405" t="str">
        <f>"EHPAD DIDIER ELOY"</f>
        <v>EHPAD DIDIER ELOY</v>
      </c>
      <c r="C4405" t="s">
        <v>68</v>
      </c>
    </row>
    <row r="4406" spans="1:3" x14ac:dyDescent="0.25">
      <c r="A4406" t="str">
        <f>"590787313"</f>
        <v>590787313</v>
      </c>
      <c r="B4406" t="str">
        <f>"EHPAD LOGIS DOUAISIENS"</f>
        <v>EHPAD LOGIS DOUAISIENS</v>
      </c>
      <c r="C4406" t="s">
        <v>68</v>
      </c>
    </row>
    <row r="4407" spans="1:3" x14ac:dyDescent="0.25">
      <c r="A4407" t="str">
        <f>"590787321"</f>
        <v>590787321</v>
      </c>
      <c r="B4407" t="str">
        <f>"EHPAD LA ROSE DES VENTS"</f>
        <v>EHPAD LA ROSE DES VENTS</v>
      </c>
      <c r="C4407" t="s">
        <v>68</v>
      </c>
    </row>
    <row r="4408" spans="1:3" x14ac:dyDescent="0.25">
      <c r="A4408" t="str">
        <f>"590787388"</f>
        <v>590787388</v>
      </c>
      <c r="B4408" t="str">
        <f>"EHPAD RESIDENCE L'OSTREVENT"</f>
        <v>EHPAD RESIDENCE L'OSTREVENT</v>
      </c>
      <c r="C4408" t="s">
        <v>68</v>
      </c>
    </row>
    <row r="4409" spans="1:3" x14ac:dyDescent="0.25">
      <c r="A4409" t="str">
        <f>"590787404"</f>
        <v>590787404</v>
      </c>
      <c r="B4409" t="str">
        <f>"RESIDENCE LE PEVELE"</f>
        <v>RESIDENCE LE PEVELE</v>
      </c>
      <c r="C4409" t="s">
        <v>68</v>
      </c>
    </row>
    <row r="4410" spans="1:3" x14ac:dyDescent="0.25">
      <c r="A4410" t="str">
        <f>"590787420"</f>
        <v>590787420</v>
      </c>
      <c r="B4410" t="str">
        <f>"EHPAD GODELIEZ BOLVIN CH CAMBRAI"</f>
        <v>EHPAD GODELIEZ BOLVIN CH CAMBRAI</v>
      </c>
      <c r="C4410" t="s">
        <v>68</v>
      </c>
    </row>
    <row r="4411" spans="1:3" x14ac:dyDescent="0.25">
      <c r="A4411" t="str">
        <f>"590787438"</f>
        <v>590787438</v>
      </c>
      <c r="B4411" t="str">
        <f>"EHPAD RESIDENCE D'AUTOMNE"</f>
        <v>EHPAD RESIDENCE D'AUTOMNE</v>
      </c>
      <c r="C4411" t="s">
        <v>68</v>
      </c>
    </row>
    <row r="4412" spans="1:3" x14ac:dyDescent="0.25">
      <c r="A4412" t="str">
        <f>"590787446"</f>
        <v>590787446</v>
      </c>
      <c r="B4412" t="str">
        <f>"EHPAD RESIDENCE VANDERBURCH"</f>
        <v>EHPAD RESIDENCE VANDERBURCH</v>
      </c>
      <c r="C4412" t="s">
        <v>68</v>
      </c>
    </row>
    <row r="4413" spans="1:3" x14ac:dyDescent="0.25">
      <c r="A4413" t="str">
        <f>"590787537"</f>
        <v>590787537</v>
      </c>
      <c r="B4413" t="str">
        <f>"EHPAD FONDATION LOUIS SERBAT"</f>
        <v>EHPAD FONDATION LOUIS SERBAT</v>
      </c>
      <c r="C4413" t="s">
        <v>68</v>
      </c>
    </row>
    <row r="4414" spans="1:3" x14ac:dyDescent="0.25">
      <c r="A4414" t="str">
        <f>"590787784"</f>
        <v>590787784</v>
      </c>
      <c r="B4414" t="str">
        <f>"EHPAD SAINT-AUGUSTIN"</f>
        <v>EHPAD SAINT-AUGUSTIN</v>
      </c>
      <c r="C4414" t="s">
        <v>68</v>
      </c>
    </row>
    <row r="4415" spans="1:3" x14ac:dyDescent="0.25">
      <c r="A4415" t="str">
        <f>"590787826"</f>
        <v>590787826</v>
      </c>
      <c r="B4415" t="str">
        <f>"EHPAD LA RESIDENCE DU CLOCHER"</f>
        <v>EHPAD LA RESIDENCE DU CLOCHER</v>
      </c>
      <c r="C4415" t="s">
        <v>68</v>
      </c>
    </row>
    <row r="4416" spans="1:3" x14ac:dyDescent="0.25">
      <c r="A4416" t="str">
        <f>"590787842"</f>
        <v>590787842</v>
      </c>
      <c r="B4416" t="str">
        <f>"EHPAD RESIDENCE VAN EEGHEM"</f>
        <v>EHPAD RESIDENCE VAN EEGHEM</v>
      </c>
      <c r="C4416" t="s">
        <v>68</v>
      </c>
    </row>
    <row r="4417" spans="1:3" x14ac:dyDescent="0.25">
      <c r="A4417" t="str">
        <f>"590787966"</f>
        <v>590787966</v>
      </c>
      <c r="B4417" t="str">
        <f>"EHPAD LES MAISONS BLEUES"</f>
        <v>EHPAD LES MAISONS BLEUES</v>
      </c>
      <c r="C4417" t="s">
        <v>68</v>
      </c>
    </row>
    <row r="4418" spans="1:3" x14ac:dyDescent="0.25">
      <c r="A4418" t="str">
        <f>"590788030"</f>
        <v>590788030</v>
      </c>
      <c r="B4418" t="str">
        <f>"EHPAD LES BRUYERES"</f>
        <v>EHPAD LES BRUYERES</v>
      </c>
      <c r="C4418" t="s">
        <v>68</v>
      </c>
    </row>
    <row r="4419" spans="1:3" x14ac:dyDescent="0.25">
      <c r="A4419" t="str">
        <f>"590788352"</f>
        <v>590788352</v>
      </c>
      <c r="B4419" t="str">
        <f>"EHPAD TEMPS DE VIE ST-ANDRÉ-LEZ-LILLE"</f>
        <v>EHPAD TEMPS DE VIE ST-ANDRÉ-LEZ-LILLE</v>
      </c>
      <c r="C4419" t="s">
        <v>68</v>
      </c>
    </row>
    <row r="4420" spans="1:3" x14ac:dyDescent="0.25">
      <c r="A4420" t="str">
        <f>"590788428"</f>
        <v>590788428</v>
      </c>
      <c r="B4420" t="str">
        <f>"EHPAD MAISON DE FAMILLE CLAIREFONTAINE"</f>
        <v>EHPAD MAISON DE FAMILLE CLAIREFONTAINE</v>
      </c>
      <c r="C4420" t="s">
        <v>68</v>
      </c>
    </row>
    <row r="4421" spans="1:3" x14ac:dyDescent="0.25">
      <c r="A4421" t="str">
        <f>"590788444"</f>
        <v>590788444</v>
      </c>
      <c r="B4421" t="str">
        <f>"EHPAD ST HILAIRE"</f>
        <v>EHPAD ST HILAIRE</v>
      </c>
      <c r="C4421" t="s">
        <v>68</v>
      </c>
    </row>
    <row r="4422" spans="1:3" x14ac:dyDescent="0.25">
      <c r="A4422" t="str">
        <f>"590788493"</f>
        <v>590788493</v>
      </c>
      <c r="B4422" t="str">
        <f>"EHPAD MERICI"</f>
        <v>EHPAD MERICI</v>
      </c>
      <c r="C4422" t="s">
        <v>68</v>
      </c>
    </row>
    <row r="4423" spans="1:3" x14ac:dyDescent="0.25">
      <c r="A4423" t="str">
        <f>"590788683"</f>
        <v>590788683</v>
      </c>
      <c r="B4423" t="str">
        <f>"EHPAD ST ANTOINE DE PADOUE"</f>
        <v>EHPAD ST ANTOINE DE PADOUE</v>
      </c>
      <c r="C4423" t="s">
        <v>68</v>
      </c>
    </row>
    <row r="4424" spans="1:3" x14ac:dyDescent="0.25">
      <c r="A4424" t="str">
        <f>"590788691"</f>
        <v>590788691</v>
      </c>
      <c r="B4424" t="str">
        <f>"EHPAD LES MAISONS BLEUES"</f>
        <v>EHPAD LES MAISONS BLEUES</v>
      </c>
      <c r="C4424" t="s">
        <v>68</v>
      </c>
    </row>
    <row r="4425" spans="1:3" x14ac:dyDescent="0.25">
      <c r="A4425" t="str">
        <f>"590788774"</f>
        <v>590788774</v>
      </c>
      <c r="B4425" t="str">
        <f>"EHPAD LA POTENNERIE"</f>
        <v>EHPAD LA POTENNERIE</v>
      </c>
      <c r="C4425" t="s">
        <v>68</v>
      </c>
    </row>
    <row r="4426" spans="1:3" x14ac:dyDescent="0.25">
      <c r="A4426" t="str">
        <f>"590789848"</f>
        <v>590789848</v>
      </c>
      <c r="B4426" t="str">
        <f>"EHPAD FOYER LOG RESIDENCE VANDEVANNET"</f>
        <v>EHPAD FOYER LOG RESIDENCE VANDEVANNET</v>
      </c>
      <c r="C4426" t="s">
        <v>68</v>
      </c>
    </row>
    <row r="4427" spans="1:3" x14ac:dyDescent="0.25">
      <c r="A4427" t="str">
        <f>"590789863"</f>
        <v>590789863</v>
      </c>
      <c r="B4427" t="str">
        <f>"EHPAD LES JARDINS DE THÉODORE"</f>
        <v>EHPAD LES JARDINS DE THÉODORE</v>
      </c>
      <c r="C4427" t="s">
        <v>68</v>
      </c>
    </row>
    <row r="4428" spans="1:3" x14ac:dyDescent="0.25">
      <c r="A4428" t="str">
        <f>"590789871"</f>
        <v>590789871</v>
      </c>
      <c r="B4428" t="str">
        <f>"PUV HENRI SALENGRO"</f>
        <v>PUV HENRI SALENGRO</v>
      </c>
      <c r="C4428" t="s">
        <v>68</v>
      </c>
    </row>
    <row r="4429" spans="1:3" x14ac:dyDescent="0.25">
      <c r="A4429" t="str">
        <f>"590789889"</f>
        <v>590789889</v>
      </c>
      <c r="B4429" t="str">
        <f>"EHPAD ZELIE QUENTON"</f>
        <v>EHPAD ZELIE QUENTON</v>
      </c>
      <c r="C4429" t="s">
        <v>68</v>
      </c>
    </row>
    <row r="4430" spans="1:3" x14ac:dyDescent="0.25">
      <c r="A4430" t="str">
        <f>"590789897"</f>
        <v>590789897</v>
      </c>
      <c r="B4430" t="str">
        <f>"EHPAD STE GENEVIEVE"</f>
        <v>EHPAD STE GENEVIEVE</v>
      </c>
      <c r="C4430" t="s">
        <v>68</v>
      </c>
    </row>
    <row r="4431" spans="1:3" x14ac:dyDescent="0.25">
      <c r="A4431" t="str">
        <f>"590789905"</f>
        <v>590789905</v>
      </c>
      <c r="B4431" t="str">
        <f>"EHPAD RESIDENCE VAN KEMPEN"</f>
        <v>EHPAD RESIDENCE VAN KEMPEN</v>
      </c>
      <c r="C4431" t="s">
        <v>68</v>
      </c>
    </row>
    <row r="4432" spans="1:3" x14ac:dyDescent="0.25">
      <c r="A4432" t="str">
        <f>"590789921"</f>
        <v>590789921</v>
      </c>
      <c r="B4432" t="str">
        <f>"EHPAD  FONDATION SHADET VERCOUSTRE"</f>
        <v>EHPAD  FONDATION SHADET VERCOUSTRE</v>
      </c>
      <c r="C4432" t="s">
        <v>68</v>
      </c>
    </row>
    <row r="4433" spans="1:3" x14ac:dyDescent="0.25">
      <c r="A4433" t="str">
        <f>"590789962"</f>
        <v>590789962</v>
      </c>
      <c r="B4433" t="str">
        <f>"RESIDENCE EHPAD LES MARRONNIERS"</f>
        <v>RESIDENCE EHPAD LES MARRONNIERS</v>
      </c>
      <c r="C4433" t="s">
        <v>68</v>
      </c>
    </row>
    <row r="4434" spans="1:3" x14ac:dyDescent="0.25">
      <c r="A4434" t="str">
        <f>"590790002"</f>
        <v>590790002</v>
      </c>
      <c r="B4434" t="str">
        <f>"EHPAD RESIDENCE LE BOSQUET"</f>
        <v>EHPAD RESIDENCE LE BOSQUET</v>
      </c>
      <c r="C4434" t="s">
        <v>68</v>
      </c>
    </row>
    <row r="4435" spans="1:3" x14ac:dyDescent="0.25">
      <c r="A4435" t="str">
        <f>"590790010"</f>
        <v>590790010</v>
      </c>
      <c r="B4435" t="str">
        <f>"EHPAD NOTRE DAME DES ANGES"</f>
        <v>EHPAD NOTRE DAME DES ANGES</v>
      </c>
      <c r="C4435" t="s">
        <v>68</v>
      </c>
    </row>
    <row r="4436" spans="1:3" x14ac:dyDescent="0.25">
      <c r="A4436" t="str">
        <f>"590790036"</f>
        <v>590790036</v>
      </c>
      <c r="B4436" t="str">
        <f>"EHPAD SAINT-JOSEPH"</f>
        <v>EHPAD SAINT-JOSEPH</v>
      </c>
      <c r="C4436" t="s">
        <v>68</v>
      </c>
    </row>
    <row r="4437" spans="1:3" x14ac:dyDescent="0.25">
      <c r="A4437" t="str">
        <f>"590790069"</f>
        <v>590790069</v>
      </c>
      <c r="B4437" t="str">
        <f>"EHPAD RESIDENCE LES BUISSONNETS"</f>
        <v>EHPAD RESIDENCE LES BUISSONNETS</v>
      </c>
      <c r="C4437" t="s">
        <v>68</v>
      </c>
    </row>
    <row r="4438" spans="1:3" x14ac:dyDescent="0.25">
      <c r="A4438" t="str">
        <f>"590790077"</f>
        <v>590790077</v>
      </c>
      <c r="B4438" t="str">
        <f>"EHPAD SAINTE-MARIE"</f>
        <v>EHPAD SAINTE-MARIE</v>
      </c>
      <c r="C4438" t="s">
        <v>68</v>
      </c>
    </row>
    <row r="4439" spans="1:3" x14ac:dyDescent="0.25">
      <c r="A4439" t="str">
        <f>"590790101"</f>
        <v>590790101</v>
      </c>
      <c r="B4439" t="str">
        <f>"EHPAD LA MAISON DES ROSES"</f>
        <v>EHPAD LA MAISON DES ROSES</v>
      </c>
      <c r="C4439" t="s">
        <v>68</v>
      </c>
    </row>
    <row r="4440" spans="1:3" x14ac:dyDescent="0.25">
      <c r="A4440" t="str">
        <f>"590790119"</f>
        <v>590790119</v>
      </c>
      <c r="B4440" t="str">
        <f>"EHPAD TEMPS DE VIE MAUBEUGE"</f>
        <v>EHPAD TEMPS DE VIE MAUBEUGE</v>
      </c>
      <c r="C4440" t="s">
        <v>68</v>
      </c>
    </row>
    <row r="4441" spans="1:3" x14ac:dyDescent="0.25">
      <c r="A4441" t="str">
        <f>"590790127"</f>
        <v>590790127</v>
      </c>
      <c r="B4441" t="str">
        <f>"EHPAD KORIAN GAMBETTA"</f>
        <v>EHPAD KORIAN GAMBETTA</v>
      </c>
      <c r="C4441" t="s">
        <v>68</v>
      </c>
    </row>
    <row r="4442" spans="1:3" x14ac:dyDescent="0.25">
      <c r="A4442" t="str">
        <f>"590790549"</f>
        <v>590790549</v>
      </c>
      <c r="B4442" t="str">
        <f>"MAISON DE FAMILLE JEANNE JUGAN"</f>
        <v>MAISON DE FAMILLE JEANNE JUGAN</v>
      </c>
      <c r="C4442" t="s">
        <v>68</v>
      </c>
    </row>
    <row r="4443" spans="1:3" x14ac:dyDescent="0.25">
      <c r="A4443" t="str">
        <f>"590791042"</f>
        <v>590791042</v>
      </c>
      <c r="B4443" t="str">
        <f>"EHPAD MA MAISON"</f>
        <v>EHPAD MA MAISON</v>
      </c>
      <c r="C4443" t="s">
        <v>68</v>
      </c>
    </row>
    <row r="4444" spans="1:3" x14ac:dyDescent="0.25">
      <c r="A4444" t="str">
        <f>"590791315"</f>
        <v>590791315</v>
      </c>
      <c r="B4444" t="str">
        <f>"EHPAD RESIDENCE FRANCOISE LUXEMBOURG"</f>
        <v>EHPAD RESIDENCE FRANCOISE LUXEMBOURG</v>
      </c>
      <c r="C4444" t="s">
        <v>68</v>
      </c>
    </row>
    <row r="4445" spans="1:3" x14ac:dyDescent="0.25">
      <c r="A4445" t="str">
        <f>"590792024"</f>
        <v>590792024</v>
      </c>
      <c r="B4445" t="str">
        <f>"EHPAD TEMPS DE VIE LESQUIN"</f>
        <v>EHPAD TEMPS DE VIE LESQUIN</v>
      </c>
      <c r="C4445" t="s">
        <v>68</v>
      </c>
    </row>
    <row r="4446" spans="1:3" x14ac:dyDescent="0.25">
      <c r="A4446" t="str">
        <f>"590794343"</f>
        <v>590794343</v>
      </c>
      <c r="B4446" t="str">
        <f>"RESIDENCE LA TREILLE"</f>
        <v>RESIDENCE LA TREILLE</v>
      </c>
      <c r="C4446" t="s">
        <v>68</v>
      </c>
    </row>
    <row r="4447" spans="1:3" x14ac:dyDescent="0.25">
      <c r="A4447" t="str">
        <f>"590794384"</f>
        <v>590794384</v>
      </c>
      <c r="B4447" t="str">
        <f>"RÉSIDENCE SAINT MAUR"</f>
        <v>RÉSIDENCE SAINT MAUR</v>
      </c>
      <c r="C4447" t="s">
        <v>68</v>
      </c>
    </row>
    <row r="4448" spans="1:3" x14ac:dyDescent="0.25">
      <c r="A4448" t="str">
        <f>"590794707"</f>
        <v>590794707</v>
      </c>
      <c r="B4448" t="str">
        <f>"EHPAD TEMPS DE VIE LE QUESNOY"</f>
        <v>EHPAD TEMPS DE VIE LE QUESNOY</v>
      </c>
      <c r="C4448" t="s">
        <v>68</v>
      </c>
    </row>
    <row r="4449" spans="1:3" x14ac:dyDescent="0.25">
      <c r="A4449" t="str">
        <f>"590797031"</f>
        <v>590797031</v>
      </c>
      <c r="B4449" t="str">
        <f>"EHPAD LA RENAISSANCE"</f>
        <v>EHPAD LA RENAISSANCE</v>
      </c>
      <c r="C4449" t="s">
        <v>68</v>
      </c>
    </row>
    <row r="4450" spans="1:3" x14ac:dyDescent="0.25">
      <c r="A4450" t="str">
        <f>"590797049"</f>
        <v>590797049</v>
      </c>
      <c r="B4450" t="str">
        <f>"RESIDENCE LES TILLEULS"</f>
        <v>RESIDENCE LES TILLEULS</v>
      </c>
      <c r="C4450" t="s">
        <v>68</v>
      </c>
    </row>
    <row r="4451" spans="1:3" x14ac:dyDescent="0.25">
      <c r="A4451" t="str">
        <f>"590797072"</f>
        <v>590797072</v>
      </c>
      <c r="B4451" t="str">
        <f>"EHPAD DOMAINE DE LA RIVIÈRE"</f>
        <v>EHPAD DOMAINE DE LA RIVIÈRE</v>
      </c>
      <c r="C4451" t="s">
        <v>68</v>
      </c>
    </row>
    <row r="4452" spans="1:3" x14ac:dyDescent="0.25">
      <c r="A4452" t="str">
        <f>"590797171"</f>
        <v>590797171</v>
      </c>
      <c r="B4452" t="str">
        <f>"EHPAD RESIDENCE DES FLANDRES"</f>
        <v>EHPAD RESIDENCE DES FLANDRES</v>
      </c>
      <c r="C4452" t="s">
        <v>68</v>
      </c>
    </row>
    <row r="4453" spans="1:3" x14ac:dyDescent="0.25">
      <c r="A4453" t="str">
        <f>"590801601"</f>
        <v>590801601</v>
      </c>
      <c r="B4453" t="str">
        <f>"EHPAD LES OYATS"</f>
        <v>EHPAD LES OYATS</v>
      </c>
      <c r="C4453" t="s">
        <v>68</v>
      </c>
    </row>
    <row r="4454" spans="1:3" x14ac:dyDescent="0.25">
      <c r="A4454" t="str">
        <f>"590801619"</f>
        <v>590801619</v>
      </c>
      <c r="B4454" t="str">
        <f>"EHPAD LEONCE BAJART"</f>
        <v>EHPAD LEONCE BAJART</v>
      </c>
      <c r="C4454" t="s">
        <v>68</v>
      </c>
    </row>
    <row r="4455" spans="1:3" x14ac:dyDescent="0.25">
      <c r="A4455" t="str">
        <f>"590801627"</f>
        <v>590801627</v>
      </c>
      <c r="B4455" t="str">
        <f>"EHPAD SAINT-JEAN"</f>
        <v>EHPAD SAINT-JEAN</v>
      </c>
      <c r="C4455" t="s">
        <v>68</v>
      </c>
    </row>
    <row r="4456" spans="1:3" x14ac:dyDescent="0.25">
      <c r="A4456" t="str">
        <f>"590804233"</f>
        <v>590804233</v>
      </c>
      <c r="B4456" t="str">
        <f>"EHPAD RESIDENCE LES FLEURS DE LA LYS"</f>
        <v>EHPAD RESIDENCE LES FLEURS DE LA LYS</v>
      </c>
      <c r="C4456" t="s">
        <v>68</v>
      </c>
    </row>
    <row r="4457" spans="1:3" x14ac:dyDescent="0.25">
      <c r="A4457" t="str">
        <f>"590804258"</f>
        <v>590804258</v>
      </c>
      <c r="B4457" t="str">
        <f>"EHPAD RESIDENCE VAUBAN"</f>
        <v>EHPAD RESIDENCE VAUBAN</v>
      </c>
      <c r="C4457" t="s">
        <v>68</v>
      </c>
    </row>
    <row r="4458" spans="1:3" x14ac:dyDescent="0.25">
      <c r="A4458" t="str">
        <f>"590804266"</f>
        <v>590804266</v>
      </c>
      <c r="B4458" t="str">
        <f>"EHPAD DU BEL AGE WATTRELOS"</f>
        <v>EHPAD DU BEL AGE WATTRELOS</v>
      </c>
      <c r="C4458" t="s">
        <v>68</v>
      </c>
    </row>
    <row r="4459" spans="1:3" x14ac:dyDescent="0.25">
      <c r="A4459" t="str">
        <f>"590804308"</f>
        <v>590804308</v>
      </c>
      <c r="B4459" t="str">
        <f>"EHPAD RESIDENCE SIMONE JACQUES"</f>
        <v>EHPAD RESIDENCE SIMONE JACQUES</v>
      </c>
      <c r="C4459" t="s">
        <v>68</v>
      </c>
    </row>
    <row r="4460" spans="1:3" x14ac:dyDescent="0.25">
      <c r="A4460" t="str">
        <f>"590804316"</f>
        <v>590804316</v>
      </c>
      <c r="B4460" t="str">
        <f>"EHPAD CH BAILLEUL"</f>
        <v>EHPAD CH BAILLEUL</v>
      </c>
      <c r="C4460" t="s">
        <v>68</v>
      </c>
    </row>
    <row r="4461" spans="1:3" x14ac:dyDescent="0.25">
      <c r="A4461" t="str">
        <f>"590804332"</f>
        <v>590804332</v>
      </c>
      <c r="B4461" t="str">
        <f>"EHPAD ARC EN CIEL CH DENAIN"</f>
        <v>EHPAD ARC EN CIEL CH DENAIN</v>
      </c>
      <c r="C4461" t="s">
        <v>68</v>
      </c>
    </row>
    <row r="4462" spans="1:3" x14ac:dyDescent="0.25">
      <c r="A4462" t="str">
        <f>"590804357"</f>
        <v>590804357</v>
      </c>
      <c r="B4462" t="str">
        <f>"EHPAD LES CHARMILLES"</f>
        <v>EHPAD LES CHARMILLES</v>
      </c>
      <c r="C4462" t="s">
        <v>68</v>
      </c>
    </row>
    <row r="4463" spans="1:3" x14ac:dyDescent="0.25">
      <c r="A4463" t="str">
        <f>"590804381"</f>
        <v>590804381</v>
      </c>
      <c r="B4463" t="str">
        <f>"EHPAD JEAN DE LUXEMBOURG"</f>
        <v>EHPAD JEAN DE LUXEMBOURG</v>
      </c>
      <c r="C4463" t="s">
        <v>68</v>
      </c>
    </row>
    <row r="4464" spans="1:3" x14ac:dyDescent="0.25">
      <c r="A4464" t="str">
        <f>"590804407"</f>
        <v>590804407</v>
      </c>
      <c r="B4464" t="str">
        <f>"EHPAD HAUTMONT"</f>
        <v>EHPAD HAUTMONT</v>
      </c>
      <c r="C4464" t="s">
        <v>68</v>
      </c>
    </row>
    <row r="4465" spans="1:3" x14ac:dyDescent="0.25">
      <c r="A4465" t="str">
        <f>"590804415"</f>
        <v>590804415</v>
      </c>
      <c r="B4465" t="str">
        <f>"EHPAD LE CLOS DES TILLEULS"</f>
        <v>EHPAD LE CLOS DES TILLEULS</v>
      </c>
      <c r="C4465" t="s">
        <v>68</v>
      </c>
    </row>
    <row r="4466" spans="1:3" x14ac:dyDescent="0.25">
      <c r="A4466" t="str">
        <f>"590804423"</f>
        <v>590804423</v>
      </c>
      <c r="B4466" t="str">
        <f>"EHPAD RESIDENCE DU CARRE D'OR"</f>
        <v>EHPAD RESIDENCE DU CARRE D'OR</v>
      </c>
      <c r="C4466" t="s">
        <v>68</v>
      </c>
    </row>
    <row r="4467" spans="1:3" x14ac:dyDescent="0.25">
      <c r="A4467" t="str">
        <f>"590804431"</f>
        <v>590804431</v>
      </c>
      <c r="B4467" t="str">
        <f>"EHPAD ARC EN CIEL EPS LES ERABLES"</f>
        <v>EHPAD ARC EN CIEL EPS LES ERABLES</v>
      </c>
      <c r="C4467" t="s">
        <v>68</v>
      </c>
    </row>
    <row r="4468" spans="1:3" x14ac:dyDescent="0.25">
      <c r="A4468" t="str">
        <f>"590804456"</f>
        <v>590804456</v>
      </c>
      <c r="B4468" t="str">
        <f>"EHPAD LES MAGNOLIAS"</f>
        <v>EHPAD LES MAGNOLIAS</v>
      </c>
      <c r="C4468" t="s">
        <v>68</v>
      </c>
    </row>
    <row r="4469" spans="1:3" x14ac:dyDescent="0.25">
      <c r="A4469" t="str">
        <f>"590804472"</f>
        <v>590804472</v>
      </c>
      <c r="B4469" t="str">
        <f>"EHPAD CH MAISON DU MOULIN"</f>
        <v>EHPAD CH MAISON DU MOULIN</v>
      </c>
      <c r="C4469" t="s">
        <v>68</v>
      </c>
    </row>
    <row r="4470" spans="1:3" x14ac:dyDescent="0.25">
      <c r="A4470" t="str">
        <f>"590804498"</f>
        <v>590804498</v>
      </c>
      <c r="B4470" t="str">
        <f>"EHPAD RESIDENCE ESTREELLE"</f>
        <v>EHPAD RESIDENCE ESTREELLE</v>
      </c>
      <c r="C4470" t="s">
        <v>68</v>
      </c>
    </row>
    <row r="4471" spans="1:3" x14ac:dyDescent="0.25">
      <c r="A4471" t="str">
        <f>"590804530"</f>
        <v>590804530</v>
      </c>
      <c r="B4471" t="str">
        <f>"EHPAD LES AUGUSTINES"</f>
        <v>EHPAD LES AUGUSTINES</v>
      </c>
      <c r="C4471" t="s">
        <v>68</v>
      </c>
    </row>
    <row r="4472" spans="1:3" x14ac:dyDescent="0.25">
      <c r="A4472" t="str">
        <f>"590804613"</f>
        <v>590804613</v>
      </c>
      <c r="B4472" t="str">
        <f>"CLOS SAINT JEAN"</f>
        <v>CLOS SAINT JEAN</v>
      </c>
      <c r="C4472" t="s">
        <v>68</v>
      </c>
    </row>
    <row r="4473" spans="1:3" x14ac:dyDescent="0.25">
      <c r="A4473" t="str">
        <f>"590804654"</f>
        <v>590804654</v>
      </c>
      <c r="B4473" t="str">
        <f>"EHPAD VICTOR DELLOUE"</f>
        <v>EHPAD VICTOR DELLOUE</v>
      </c>
      <c r="C4473" t="s">
        <v>68</v>
      </c>
    </row>
    <row r="4474" spans="1:3" x14ac:dyDescent="0.25">
      <c r="A4474" t="str">
        <f>"590804969"</f>
        <v>590804969</v>
      </c>
      <c r="B4474" t="str">
        <f>"EHPAD  MARGUERITE DE FLANDRE"</f>
        <v>EHPAD  MARGUERITE DE FLANDRE</v>
      </c>
      <c r="C4474" t="s">
        <v>68</v>
      </c>
    </row>
    <row r="4475" spans="1:3" x14ac:dyDescent="0.25">
      <c r="A4475" t="str">
        <f>"590805362"</f>
        <v>590805362</v>
      </c>
      <c r="B4475" t="str">
        <f>"EHPAD TEMPS DE VIE MAROILLES"</f>
        <v>EHPAD TEMPS DE VIE MAROILLES</v>
      </c>
      <c r="C4475" t="s">
        <v>68</v>
      </c>
    </row>
    <row r="4476" spans="1:3" x14ac:dyDescent="0.25">
      <c r="A4476" t="str">
        <f>"590805412"</f>
        <v>590805412</v>
      </c>
      <c r="B4476" t="str">
        <f>"EHPAD RESIDENCE PAUL CORDONNIER"</f>
        <v>EHPAD RESIDENCE PAUL CORDONNIER</v>
      </c>
      <c r="C4476" t="s">
        <v>68</v>
      </c>
    </row>
    <row r="4477" spans="1:3" x14ac:dyDescent="0.25">
      <c r="A4477" t="str">
        <f>"590805685"</f>
        <v>590805685</v>
      </c>
      <c r="B4477" t="str">
        <f>"EHPAD BETHANIE"</f>
        <v>EHPAD BETHANIE</v>
      </c>
      <c r="C4477" t="s">
        <v>68</v>
      </c>
    </row>
    <row r="4478" spans="1:3" x14ac:dyDescent="0.25">
      <c r="A4478" t="str">
        <f>"590806576"</f>
        <v>590806576</v>
      </c>
      <c r="B4478" t="str">
        <f>"EHPAD LA SABOTIERE"</f>
        <v>EHPAD LA SABOTIERE</v>
      </c>
      <c r="C4478" t="s">
        <v>68</v>
      </c>
    </row>
    <row r="4479" spans="1:3" x14ac:dyDescent="0.25">
      <c r="A4479" t="str">
        <f>"590806592"</f>
        <v>590806592</v>
      </c>
      <c r="B4479" t="str">
        <f>"EHPAD NATALIE DOIGNIES"</f>
        <v>EHPAD NATALIE DOIGNIES</v>
      </c>
      <c r="C4479" t="s">
        <v>68</v>
      </c>
    </row>
    <row r="4480" spans="1:3" x14ac:dyDescent="0.25">
      <c r="A4480" t="str">
        <f>"590807616"</f>
        <v>590807616</v>
      </c>
      <c r="B4480" t="str">
        <f>"PUV TEMPS DE VIE LILLE THOMAS"</f>
        <v>PUV TEMPS DE VIE LILLE THOMAS</v>
      </c>
      <c r="C4480" t="s">
        <v>68</v>
      </c>
    </row>
    <row r="4481" spans="1:3" x14ac:dyDescent="0.25">
      <c r="A4481" t="str">
        <f>"590808812"</f>
        <v>590808812</v>
      </c>
      <c r="B4481" t="str">
        <f>"EHPAD LES HORTENSIAS"</f>
        <v>EHPAD LES HORTENSIAS</v>
      </c>
      <c r="C4481" t="s">
        <v>68</v>
      </c>
    </row>
    <row r="4482" spans="1:3" x14ac:dyDescent="0.25">
      <c r="A4482" t="str">
        <f>"590809067"</f>
        <v>590809067</v>
      </c>
      <c r="B4482" t="str">
        <f>"EHPAD KORIAN LES MARQUISES"</f>
        <v>EHPAD KORIAN LES MARQUISES</v>
      </c>
      <c r="C4482" t="s">
        <v>68</v>
      </c>
    </row>
    <row r="4483" spans="1:3" x14ac:dyDescent="0.25">
      <c r="A4483" t="str">
        <f>"590809075"</f>
        <v>590809075</v>
      </c>
      <c r="B4483" t="str">
        <f>"EHPAD  RESIDENCE HARMONIE"</f>
        <v>EHPAD  RESIDENCE HARMONIE</v>
      </c>
      <c r="C4483" t="s">
        <v>68</v>
      </c>
    </row>
    <row r="4484" spans="1:3" x14ac:dyDescent="0.25">
      <c r="A4484" t="str">
        <f>"590809166"</f>
        <v>590809166</v>
      </c>
      <c r="B4484" t="str">
        <f>"EHPAD LA JONQUIERE"</f>
        <v>EHPAD LA JONQUIERE</v>
      </c>
      <c r="C4484" t="s">
        <v>68</v>
      </c>
    </row>
    <row r="4485" spans="1:3" x14ac:dyDescent="0.25">
      <c r="A4485" t="str">
        <f>"590809331"</f>
        <v>590809331</v>
      </c>
      <c r="B4485" t="str">
        <f>"EHPAD LES BOULEAUX"</f>
        <v>EHPAD LES BOULEAUX</v>
      </c>
      <c r="C4485" t="s">
        <v>68</v>
      </c>
    </row>
    <row r="4486" spans="1:3" x14ac:dyDescent="0.25">
      <c r="A4486" t="str">
        <f>"590809554"</f>
        <v>590809554</v>
      </c>
      <c r="B4486" t="str">
        <f>"EHPAD RESIDENCE JEAN MENU"</f>
        <v>EHPAD RESIDENCE JEAN MENU</v>
      </c>
      <c r="C4486" t="s">
        <v>68</v>
      </c>
    </row>
    <row r="4487" spans="1:3" x14ac:dyDescent="0.25">
      <c r="A4487" t="str">
        <f>"590809570"</f>
        <v>590809570</v>
      </c>
      <c r="B4487" t="str">
        <f>"EHPAD RESIDENCE LE VERLAINE"</f>
        <v>EHPAD RESIDENCE LE VERLAINE</v>
      </c>
      <c r="C4487" t="s">
        <v>68</v>
      </c>
    </row>
    <row r="4488" spans="1:3" x14ac:dyDescent="0.25">
      <c r="A4488" t="str">
        <f>"590809901"</f>
        <v>590809901</v>
      </c>
      <c r="B4488" t="str">
        <f>"EHPAD RESIDENCE LA RENAISSANCE"</f>
        <v>EHPAD RESIDENCE LA RENAISSANCE</v>
      </c>
      <c r="C4488" t="s">
        <v>68</v>
      </c>
    </row>
    <row r="4489" spans="1:3" x14ac:dyDescent="0.25">
      <c r="A4489" t="str">
        <f>"590810966"</f>
        <v>590810966</v>
      </c>
      <c r="B4489" t="str">
        <f>"EHPAD KORIAN L'AGE BLEU"</f>
        <v>EHPAD KORIAN L'AGE BLEU</v>
      </c>
      <c r="C4489" t="s">
        <v>68</v>
      </c>
    </row>
    <row r="4490" spans="1:3" x14ac:dyDescent="0.25">
      <c r="A4490" t="str">
        <f>"590811329"</f>
        <v>590811329</v>
      </c>
      <c r="B4490" t="str">
        <f>"EHPAD LES ORCHIDEES CROIX"</f>
        <v>EHPAD LES ORCHIDEES CROIX</v>
      </c>
      <c r="C4490" t="s">
        <v>68</v>
      </c>
    </row>
    <row r="4491" spans="1:3" x14ac:dyDescent="0.25">
      <c r="A4491" t="str">
        <f>"590811352"</f>
        <v>590811352</v>
      </c>
      <c r="B4491" t="str">
        <f>"CIG - EHPAD 'HARMONIE'"</f>
        <v>CIG - EHPAD 'HARMONIE'</v>
      </c>
      <c r="C4491" t="s">
        <v>68</v>
      </c>
    </row>
    <row r="4492" spans="1:3" x14ac:dyDescent="0.25">
      <c r="A4492" t="str">
        <f>"590812095"</f>
        <v>590812095</v>
      </c>
      <c r="B4492" t="str">
        <f>"EHPAD LES JARDINS BRUNEHAUT"</f>
        <v>EHPAD LES JARDINS BRUNEHAUT</v>
      </c>
      <c r="C4492" t="s">
        <v>68</v>
      </c>
    </row>
    <row r="4493" spans="1:3" x14ac:dyDescent="0.25">
      <c r="A4493" t="str">
        <f>"590812244"</f>
        <v>590812244</v>
      </c>
      <c r="B4493" t="str">
        <f>"EHPAD RESIDENCE LES FOUGERES"</f>
        <v>EHPAD RESIDENCE LES FOUGERES</v>
      </c>
      <c r="C4493" t="s">
        <v>68</v>
      </c>
    </row>
    <row r="4494" spans="1:3" x14ac:dyDescent="0.25">
      <c r="A4494" t="str">
        <f>"590812673"</f>
        <v>590812673</v>
      </c>
      <c r="B4494" t="str">
        <f>"EHPAD MARCELINE DESBORDES VALMORE"</f>
        <v>EHPAD MARCELINE DESBORDES VALMORE</v>
      </c>
      <c r="C4494" t="s">
        <v>68</v>
      </c>
    </row>
    <row r="4495" spans="1:3" x14ac:dyDescent="0.25">
      <c r="A4495" t="str">
        <f>"590812822"</f>
        <v>590812822</v>
      </c>
      <c r="B4495" t="str">
        <f>"EHPAD LES AMANDINES"</f>
        <v>EHPAD LES AMANDINES</v>
      </c>
      <c r="C4495" t="s">
        <v>68</v>
      </c>
    </row>
    <row r="4496" spans="1:3" x14ac:dyDescent="0.25">
      <c r="A4496" t="str">
        <f>"590812848"</f>
        <v>590812848</v>
      </c>
      <c r="B4496" t="str">
        <f>"LES MYOSOTIS"</f>
        <v>LES MYOSOTIS</v>
      </c>
      <c r="C4496" t="s">
        <v>68</v>
      </c>
    </row>
    <row r="4497" spans="1:3" x14ac:dyDescent="0.25">
      <c r="A4497" t="str">
        <f>"590813457"</f>
        <v>590813457</v>
      </c>
      <c r="B4497" t="str">
        <f>"EHPAD RESIDENCE LE CHATEAU"</f>
        <v>EHPAD RESIDENCE LE CHATEAU</v>
      </c>
      <c r="C4497" t="s">
        <v>68</v>
      </c>
    </row>
    <row r="4498" spans="1:3" x14ac:dyDescent="0.25">
      <c r="A4498" t="str">
        <f>"590813523"</f>
        <v>590813523</v>
      </c>
      <c r="B4498" t="str">
        <f>"EHPAD RESIDENCE GEORGES DELFOSSE"</f>
        <v>EHPAD RESIDENCE GEORGES DELFOSSE</v>
      </c>
      <c r="C4498" t="s">
        <v>68</v>
      </c>
    </row>
    <row r="4499" spans="1:3" x14ac:dyDescent="0.25">
      <c r="A4499" t="str">
        <f>"590814141"</f>
        <v>590814141</v>
      </c>
      <c r="B4499" t="str">
        <f>"EHPAD RESIDENCE DES ONZE VILLES"</f>
        <v>EHPAD RESIDENCE DES ONZE VILLES</v>
      </c>
      <c r="C4499" t="s">
        <v>68</v>
      </c>
    </row>
    <row r="4500" spans="1:3" x14ac:dyDescent="0.25">
      <c r="A4500" t="str">
        <f>"590814315"</f>
        <v>590814315</v>
      </c>
      <c r="B4500" t="str">
        <f>"PUV TEMPS DE VIE LILLE DOUDIN"</f>
        <v>PUV TEMPS DE VIE LILLE DOUDIN</v>
      </c>
      <c r="C4500" t="s">
        <v>68</v>
      </c>
    </row>
    <row r="4501" spans="1:3" x14ac:dyDescent="0.25">
      <c r="A4501" t="str">
        <f>"590814380"</f>
        <v>590814380</v>
      </c>
      <c r="B4501" t="str">
        <f>"EHPAD SAINT JEAN"</f>
        <v>EHPAD SAINT JEAN</v>
      </c>
      <c r="C4501" t="s">
        <v>68</v>
      </c>
    </row>
    <row r="4502" spans="1:3" x14ac:dyDescent="0.25">
      <c r="A4502" t="str">
        <f>"590814810"</f>
        <v>590814810</v>
      </c>
      <c r="B4502" t="str">
        <f>"EHPAD - RESIDENCE LE PARC FLEURI"</f>
        <v>EHPAD - RESIDENCE LE PARC FLEURI</v>
      </c>
      <c r="C4502" t="s">
        <v>68</v>
      </c>
    </row>
    <row r="4503" spans="1:3" x14ac:dyDescent="0.25">
      <c r="A4503" t="str">
        <f>"590814851"</f>
        <v>590814851</v>
      </c>
      <c r="B4503" t="str">
        <f>"EHPAD RESIDENCE ALPHONSE DAUDET"</f>
        <v>EHPAD RESIDENCE ALPHONSE DAUDET</v>
      </c>
      <c r="C4503" t="s">
        <v>68</v>
      </c>
    </row>
    <row r="4504" spans="1:3" x14ac:dyDescent="0.25">
      <c r="A4504" t="str">
        <f>"590814919"</f>
        <v>590814919</v>
      </c>
      <c r="B4504" t="str">
        <f>"EHPAD  RESIDENCE DE L' AA"</f>
        <v>EHPAD  RESIDENCE DE L' AA</v>
      </c>
      <c r="C4504" t="s">
        <v>68</v>
      </c>
    </row>
    <row r="4505" spans="1:3" x14ac:dyDescent="0.25">
      <c r="A4505" t="str">
        <f>"590815023"</f>
        <v>590815023</v>
      </c>
      <c r="B4505" t="str">
        <f>"EHPAD RESIDENCE VALERIE"</f>
        <v>EHPAD RESIDENCE VALERIE</v>
      </c>
      <c r="C4505" t="s">
        <v>68</v>
      </c>
    </row>
    <row r="4506" spans="1:3" x14ac:dyDescent="0.25">
      <c r="A4506" t="str">
        <f>"590815049"</f>
        <v>590815049</v>
      </c>
      <c r="B4506" t="str">
        <f>"EHPAD DOMAINE DES TUILLERIES"</f>
        <v>EHPAD DOMAINE DES TUILLERIES</v>
      </c>
      <c r="C4506" t="s">
        <v>68</v>
      </c>
    </row>
    <row r="4507" spans="1:3" x14ac:dyDescent="0.25">
      <c r="A4507" t="str">
        <f>"590815106"</f>
        <v>590815106</v>
      </c>
      <c r="B4507" t="str">
        <f>"EHPAD ORPEA FONTAINE-AU-PIRE"</f>
        <v>EHPAD ORPEA FONTAINE-AU-PIRE</v>
      </c>
      <c r="C4507" t="s">
        <v>68</v>
      </c>
    </row>
    <row r="4508" spans="1:3" x14ac:dyDescent="0.25">
      <c r="A4508" t="str">
        <f>"590815122"</f>
        <v>590815122</v>
      </c>
      <c r="B4508" t="str">
        <f>"EHPAD WEPPES HBT TEMPORAIRE"</f>
        <v>EHPAD WEPPES HBT TEMPORAIRE</v>
      </c>
      <c r="C4508" t="s">
        <v>68</v>
      </c>
    </row>
    <row r="4509" spans="1:3" x14ac:dyDescent="0.25">
      <c r="A4509" t="str">
        <f>"590815759"</f>
        <v>590815759</v>
      </c>
      <c r="B4509" t="str">
        <f>"EHPAD RESIDENCE YVON DUVAL"</f>
        <v>EHPAD RESIDENCE YVON DUVAL</v>
      </c>
      <c r="C4509" t="s">
        <v>68</v>
      </c>
    </row>
    <row r="4510" spans="1:3" x14ac:dyDescent="0.25">
      <c r="A4510" t="str">
        <f>"590815767"</f>
        <v>590815767</v>
      </c>
      <c r="B4510" t="str">
        <f>"RESIDENCE DE L'ABBAYE"</f>
        <v>RESIDENCE DE L'ABBAYE</v>
      </c>
      <c r="C4510" t="s">
        <v>68</v>
      </c>
    </row>
    <row r="4511" spans="1:3" x14ac:dyDescent="0.25">
      <c r="A4511" t="str">
        <f>"590815866"</f>
        <v>590815866</v>
      </c>
      <c r="B4511" t="str">
        <f>"EHPAD RESIDENCE D'AUTOMNE"</f>
        <v>EHPAD RESIDENCE D'AUTOMNE</v>
      </c>
      <c r="C4511" t="s">
        <v>68</v>
      </c>
    </row>
    <row r="4512" spans="1:3" x14ac:dyDescent="0.25">
      <c r="A4512" t="str">
        <f>"590815882"</f>
        <v>590815882</v>
      </c>
      <c r="B4512" t="str">
        <f>"EHPAD LES ORCHIDEES ROUBAIX"</f>
        <v>EHPAD LES ORCHIDEES ROUBAIX</v>
      </c>
      <c r="C4512" t="s">
        <v>68</v>
      </c>
    </row>
    <row r="4513" spans="1:3" x14ac:dyDescent="0.25">
      <c r="A4513" t="str">
        <f>"590815957"</f>
        <v>590815957</v>
      </c>
      <c r="B4513" t="str">
        <f>"EHPAD RESIDENCE SERVICE EDILYS"</f>
        <v>EHPAD RESIDENCE SERVICE EDILYS</v>
      </c>
      <c r="C4513" t="s">
        <v>68</v>
      </c>
    </row>
    <row r="4514" spans="1:3" x14ac:dyDescent="0.25">
      <c r="A4514" t="str">
        <f>"590816104"</f>
        <v>590816104</v>
      </c>
      <c r="B4514" t="str">
        <f>"EHPAD KORIAN LE HALAGE"</f>
        <v>EHPAD KORIAN LE HALAGE</v>
      </c>
      <c r="C4514" t="s">
        <v>68</v>
      </c>
    </row>
    <row r="4515" spans="1:3" x14ac:dyDescent="0.25">
      <c r="A4515" t="str">
        <f>"590816286"</f>
        <v>590816286</v>
      </c>
      <c r="B4515" t="str">
        <f>"EHPAD L ARCHE"</f>
        <v>EHPAD L ARCHE</v>
      </c>
      <c r="C4515" t="s">
        <v>68</v>
      </c>
    </row>
    <row r="4516" spans="1:3" x14ac:dyDescent="0.25">
      <c r="A4516" t="str">
        <f>"590816435"</f>
        <v>590816435</v>
      </c>
      <c r="B4516" t="str">
        <f>"EHPAD RESIDENCE SER LES HAUTS D'AMANDI"</f>
        <v>EHPAD RESIDENCE SER LES HAUTS D'AMANDI</v>
      </c>
      <c r="C4516" t="s">
        <v>68</v>
      </c>
    </row>
    <row r="4517" spans="1:3" x14ac:dyDescent="0.25">
      <c r="A4517" t="str">
        <f>"590816708"</f>
        <v>590816708</v>
      </c>
      <c r="B4517" t="str">
        <f>"EHPAD SOLEIL D'AUTOMNE"</f>
        <v>EHPAD SOLEIL D'AUTOMNE</v>
      </c>
      <c r="C4517" t="s">
        <v>68</v>
      </c>
    </row>
    <row r="4518" spans="1:3" x14ac:dyDescent="0.25">
      <c r="A4518" t="str">
        <f>"590817375"</f>
        <v>590817375</v>
      </c>
      <c r="B4518" t="str">
        <f>"RESIDENCE LES ORCHIDEES LANNOY"</f>
        <v>RESIDENCE LES ORCHIDEES LANNOY</v>
      </c>
      <c r="C4518" t="s">
        <v>68</v>
      </c>
    </row>
    <row r="4519" spans="1:3" x14ac:dyDescent="0.25">
      <c r="A4519" t="str">
        <f>"600002729"</f>
        <v>600002729</v>
      </c>
      <c r="B4519" t="str">
        <f>"RÉSIDENCE LES BORDS DE L'OISE CREIL"</f>
        <v>RÉSIDENCE LES BORDS DE L'OISE CREIL</v>
      </c>
      <c r="C4519" t="s">
        <v>68</v>
      </c>
    </row>
    <row r="4520" spans="1:3" x14ac:dyDescent="0.25">
      <c r="A4520" t="str">
        <f>"600006589"</f>
        <v>600006589</v>
      </c>
      <c r="B4520" t="str">
        <f>"EHPAD RESIDENCE VILLA EPINOMIS SAGÉPA"</f>
        <v>EHPAD RESIDENCE VILLA EPINOMIS SAGÉPA</v>
      </c>
      <c r="C4520" t="s">
        <v>68</v>
      </c>
    </row>
    <row r="4521" spans="1:3" x14ac:dyDescent="0.25">
      <c r="A4521" t="str">
        <f>"600007967"</f>
        <v>600007967</v>
      </c>
      <c r="B4521" t="str">
        <f>"LA FONTAINE MÉDICIS"</f>
        <v>LA FONTAINE MÉDICIS</v>
      </c>
      <c r="C4521" t="s">
        <v>68</v>
      </c>
    </row>
    <row r="4522" spans="1:3" x14ac:dyDescent="0.25">
      <c r="A4522" t="str">
        <f>"600008379"</f>
        <v>600008379</v>
      </c>
      <c r="B4522" t="str">
        <f>"EHPAD MIC THOUROTTE"</f>
        <v>EHPAD MIC THOUROTTE</v>
      </c>
      <c r="C4522" t="s">
        <v>68</v>
      </c>
    </row>
    <row r="4523" spans="1:3" x14ac:dyDescent="0.25">
      <c r="A4523" t="str">
        <f>"600008759"</f>
        <v>600008759</v>
      </c>
      <c r="B4523" t="str">
        <f>"LES JARDINS MÉDICIS"</f>
        <v>LES JARDINS MÉDICIS</v>
      </c>
      <c r="C4523" t="s">
        <v>68</v>
      </c>
    </row>
    <row r="4524" spans="1:3" x14ac:dyDescent="0.25">
      <c r="A4524" t="str">
        <f>"600008817"</f>
        <v>600008817</v>
      </c>
      <c r="B4524" t="str">
        <f>"LES JARDINS MÉDICIS À PONTPOINT"</f>
        <v>LES JARDINS MÉDICIS À PONTPOINT</v>
      </c>
      <c r="C4524" t="s">
        <v>68</v>
      </c>
    </row>
    <row r="4525" spans="1:3" x14ac:dyDescent="0.25">
      <c r="A4525" t="str">
        <f>"600009732"</f>
        <v>600009732</v>
      </c>
      <c r="B4525" t="str">
        <f>"EHPAD SOS SENIORS MÉRU"</f>
        <v>EHPAD SOS SENIORS MÉRU</v>
      </c>
      <c r="C4525" t="s">
        <v>68</v>
      </c>
    </row>
    <row r="4526" spans="1:3" x14ac:dyDescent="0.25">
      <c r="A4526" t="str">
        <f>"600009740"</f>
        <v>600009740</v>
      </c>
      <c r="B4526" t="str">
        <f>"EHPAD KORIAN LA GRANDE PRAIRIE"</f>
        <v>EHPAD KORIAN LA GRANDE PRAIRIE</v>
      </c>
      <c r="C4526" t="s">
        <v>68</v>
      </c>
    </row>
    <row r="4527" spans="1:3" x14ac:dyDescent="0.25">
      <c r="A4527" t="str">
        <f>"600009757"</f>
        <v>600009757</v>
      </c>
      <c r="B4527" t="str">
        <f>"EHPAD OHMSGC CREIL"</f>
        <v>EHPAD OHMSGC CREIL</v>
      </c>
      <c r="C4527" t="s">
        <v>68</v>
      </c>
    </row>
    <row r="4528" spans="1:3" x14ac:dyDescent="0.25">
      <c r="A4528" t="str">
        <f>"600010557"</f>
        <v>600010557</v>
      </c>
      <c r="B4528" t="str">
        <f>"EHPAD ORPEA BEAUVAIS"</f>
        <v>EHPAD ORPEA BEAUVAIS</v>
      </c>
      <c r="C4528" t="s">
        <v>68</v>
      </c>
    </row>
    <row r="4529" spans="1:3" x14ac:dyDescent="0.25">
      <c r="A4529" t="str">
        <f>"600011274"</f>
        <v>600011274</v>
      </c>
      <c r="B4529" t="str">
        <f>"EHPAD ADEF SAINT-JUST-EN-CHAUSSÉE"</f>
        <v>EHPAD ADEF SAINT-JUST-EN-CHAUSSÉE</v>
      </c>
      <c r="C4529" t="s">
        <v>68</v>
      </c>
    </row>
    <row r="4530" spans="1:3" x14ac:dyDescent="0.25">
      <c r="A4530" t="str">
        <f>"600011498"</f>
        <v>600011498</v>
      </c>
      <c r="B4530" t="str">
        <f>"EHPAD CH PONT-SAINTE-MAXENCE"</f>
        <v>EHPAD CH PONT-SAINTE-MAXENCE</v>
      </c>
      <c r="C4530" t="s">
        <v>68</v>
      </c>
    </row>
    <row r="4531" spans="1:3" x14ac:dyDescent="0.25">
      <c r="A4531" t="str">
        <f>"600012553"</f>
        <v>600012553</v>
      </c>
      <c r="B4531" t="str">
        <f>"EHPAD HL CRÉPY-EN-VALOIS LAZARE"</f>
        <v>EHPAD HL CRÉPY-EN-VALOIS LAZARE</v>
      </c>
      <c r="C4531" t="s">
        <v>68</v>
      </c>
    </row>
    <row r="4532" spans="1:3" x14ac:dyDescent="0.25">
      <c r="A4532" t="str">
        <f>"600013866"</f>
        <v>600013866</v>
      </c>
      <c r="B4532" t="str">
        <f>"EHPAD CARPE DIEM ROYALLIEU"</f>
        <v>EHPAD CARPE DIEM ROYALLIEU</v>
      </c>
      <c r="C4532" t="s">
        <v>68</v>
      </c>
    </row>
    <row r="4533" spans="1:3" x14ac:dyDescent="0.25">
      <c r="A4533" t="str">
        <f>"600013908"</f>
        <v>600013908</v>
      </c>
      <c r="B4533" t="str">
        <f>"EHPAD LIANCOURT AP-HP"</f>
        <v>EHPAD LIANCOURT AP-HP</v>
      </c>
      <c r="C4533" t="s">
        <v>68</v>
      </c>
    </row>
    <row r="4534" spans="1:3" x14ac:dyDescent="0.25">
      <c r="A4534" t="str">
        <f>"600014062"</f>
        <v>600014062</v>
      </c>
      <c r="B4534" t="str">
        <f>"EHPAD LES JARDINS DE L'AUNETTE"</f>
        <v>EHPAD LES JARDINS DE L'AUNETTE</v>
      </c>
      <c r="C4534" t="s">
        <v>68</v>
      </c>
    </row>
    <row r="4535" spans="1:3" x14ac:dyDescent="0.25">
      <c r="A4535" t="str">
        <f>"600014153"</f>
        <v>600014153</v>
      </c>
      <c r="B4535" t="str">
        <f>"EHPAD RESIDENCE LE VAL FLEURY"</f>
        <v>EHPAD RESIDENCE LE VAL FLEURY</v>
      </c>
      <c r="C4535" t="s">
        <v>68</v>
      </c>
    </row>
    <row r="4536" spans="1:3" x14ac:dyDescent="0.25">
      <c r="A4536" t="str">
        <f>"600100549"</f>
        <v>600100549</v>
      </c>
      <c r="B4536" t="str">
        <f>"EHPAD LIANCOURT"</f>
        <v>EHPAD LIANCOURT</v>
      </c>
      <c r="C4536" t="s">
        <v>68</v>
      </c>
    </row>
    <row r="4537" spans="1:3" x14ac:dyDescent="0.25">
      <c r="A4537" t="str">
        <f>"600100556"</f>
        <v>600100556</v>
      </c>
      <c r="B4537" t="str">
        <f>"EHPAD BEAULIEU-LES-FONTAINES"</f>
        <v>EHPAD BEAULIEU-LES-FONTAINES</v>
      </c>
      <c r="C4537" t="s">
        <v>68</v>
      </c>
    </row>
    <row r="4538" spans="1:3" x14ac:dyDescent="0.25">
      <c r="A4538" t="str">
        <f>"600100564"</f>
        <v>600100564</v>
      </c>
      <c r="B4538" t="str">
        <f>"EHPAD CONDÉ CHANTILLY"</f>
        <v>EHPAD CONDÉ CHANTILLY</v>
      </c>
      <c r="C4538" t="s">
        <v>68</v>
      </c>
    </row>
    <row r="4539" spans="1:3" x14ac:dyDescent="0.25">
      <c r="A4539" t="str">
        <f>"600100614"</f>
        <v>600100614</v>
      </c>
      <c r="B4539" t="str">
        <f>"EHPAD RES LES 2 CHÂTEAUX MAISON DORCHY"</f>
        <v>EHPAD RES LES 2 CHÂTEAUX MAISON DORCHY</v>
      </c>
      <c r="C4539" t="s">
        <v>68</v>
      </c>
    </row>
    <row r="4540" spans="1:3" x14ac:dyDescent="0.25">
      <c r="A4540" t="str">
        <f>"600100622"</f>
        <v>600100622</v>
      </c>
      <c r="B4540" t="str">
        <f>"EHPAD BERNY GUISCARD"</f>
        <v>EHPAD BERNY GUISCARD</v>
      </c>
      <c r="C4540" t="s">
        <v>68</v>
      </c>
    </row>
    <row r="4541" spans="1:3" x14ac:dyDescent="0.25">
      <c r="A4541" t="str">
        <f>"600100978"</f>
        <v>600100978</v>
      </c>
      <c r="B4541" t="str">
        <f>"EHPAD SAINT-JACQUES COMPIÈGNE"</f>
        <v>EHPAD SAINT-JACQUES COMPIÈGNE</v>
      </c>
      <c r="C4541" t="s">
        <v>68</v>
      </c>
    </row>
    <row r="4542" spans="1:3" x14ac:dyDescent="0.25">
      <c r="A4542" t="str">
        <f>"600101083"</f>
        <v>600101083</v>
      </c>
      <c r="B4542" t="str">
        <f>"EHPAD SAINT REGIS"</f>
        <v>EHPAD SAINT REGIS</v>
      </c>
      <c r="C4542" t="s">
        <v>68</v>
      </c>
    </row>
    <row r="4543" spans="1:3" x14ac:dyDescent="0.25">
      <c r="A4543" t="str">
        <f>"600101307"</f>
        <v>600101307</v>
      </c>
      <c r="B4543" t="str">
        <f>"EHPAD ANTILLY"</f>
        <v>EHPAD ANTILLY</v>
      </c>
      <c r="C4543" t="s">
        <v>68</v>
      </c>
    </row>
    <row r="4544" spans="1:3" x14ac:dyDescent="0.25">
      <c r="A4544" t="str">
        <f>"600101323"</f>
        <v>600101323</v>
      </c>
      <c r="B4544" t="str">
        <f>"EHPAD L'ÂGE BLEU BRESLES"</f>
        <v>EHPAD L'ÂGE BLEU BRESLES</v>
      </c>
      <c r="C4544" t="s">
        <v>68</v>
      </c>
    </row>
    <row r="4545" spans="1:3" x14ac:dyDescent="0.25">
      <c r="A4545" t="str">
        <f>"600101331"</f>
        <v>600101331</v>
      </c>
      <c r="B4545" t="str">
        <f>"EHPAD BRETEUIL"</f>
        <v>EHPAD BRETEUIL</v>
      </c>
      <c r="C4545" t="s">
        <v>68</v>
      </c>
    </row>
    <row r="4546" spans="1:3" x14ac:dyDescent="0.25">
      <c r="A4546" t="str">
        <f>"600101349"</f>
        <v>600101349</v>
      </c>
      <c r="B4546" t="str">
        <f>"EHPAD CHAMBLY"</f>
        <v>EHPAD CHAMBLY</v>
      </c>
      <c r="C4546" t="s">
        <v>68</v>
      </c>
    </row>
    <row r="4547" spans="1:3" x14ac:dyDescent="0.25">
      <c r="A4547" t="str">
        <f>"600101356"</f>
        <v>600101356</v>
      </c>
      <c r="B4547" t="str">
        <f>"EHPAD CUTS"</f>
        <v>EHPAD CUTS</v>
      </c>
      <c r="C4547" t="s">
        <v>68</v>
      </c>
    </row>
    <row r="4548" spans="1:3" x14ac:dyDescent="0.25">
      <c r="A4548" t="str">
        <f>"600101364"</f>
        <v>600101364</v>
      </c>
      <c r="B4548" t="str">
        <f>"EHPAD MARSEILLE-EN-BEAUVAISIS"</f>
        <v>EHPAD MARSEILLE-EN-BEAUVAISIS</v>
      </c>
      <c r="C4548" t="s">
        <v>68</v>
      </c>
    </row>
    <row r="4549" spans="1:3" x14ac:dyDescent="0.25">
      <c r="A4549" t="str">
        <f>"600101372"</f>
        <v>600101372</v>
      </c>
      <c r="B4549" t="str">
        <f>"EHPAD L'ÂGE BLEU MOUY"</f>
        <v>EHPAD L'ÂGE BLEU MOUY</v>
      </c>
      <c r="C4549" t="s">
        <v>68</v>
      </c>
    </row>
    <row r="4550" spans="1:3" x14ac:dyDescent="0.25">
      <c r="A4550" t="str">
        <f>"600101380"</f>
        <v>600101380</v>
      </c>
      <c r="B4550" t="str">
        <f>"EHPAD 2CHÂTEAUX TRACY-LE-MONT"</f>
        <v>EHPAD 2CHÂTEAUX TRACY-LE-MONT</v>
      </c>
      <c r="C4550" t="s">
        <v>68</v>
      </c>
    </row>
    <row r="4551" spans="1:3" x14ac:dyDescent="0.25">
      <c r="A4551" t="str">
        <f>"600101398"</f>
        <v>600101398</v>
      </c>
      <c r="B4551" t="str">
        <f>"EHPAD VERBERIE"</f>
        <v>EHPAD VERBERIE</v>
      </c>
      <c r="C4551" t="s">
        <v>68</v>
      </c>
    </row>
    <row r="4552" spans="1:3" x14ac:dyDescent="0.25">
      <c r="A4552" t="str">
        <f>"600101513"</f>
        <v>600101513</v>
      </c>
      <c r="B4552" t="str">
        <f>"EHPAD COMPASSION CHAUMONT-EN-VEXIN"</f>
        <v>EHPAD COMPASSION CHAUMONT-EN-VEXIN</v>
      </c>
      <c r="C4552" t="s">
        <v>68</v>
      </c>
    </row>
    <row r="4553" spans="1:3" x14ac:dyDescent="0.25">
      <c r="A4553" t="str">
        <f>"600101547"</f>
        <v>600101547</v>
      </c>
      <c r="B4553" t="str">
        <f>"EHPAD TEMPS DE VIE ATTICHY"</f>
        <v>EHPAD TEMPS DE VIE ATTICHY</v>
      </c>
      <c r="C4553" t="s">
        <v>68</v>
      </c>
    </row>
    <row r="4554" spans="1:3" x14ac:dyDescent="0.25">
      <c r="A4554" t="str">
        <f>"600102073"</f>
        <v>600102073</v>
      </c>
      <c r="B4554" t="str">
        <f>"EHPAD COMPASSION DOMFRONT"</f>
        <v>EHPAD COMPASSION DOMFRONT</v>
      </c>
      <c r="C4554" t="s">
        <v>68</v>
      </c>
    </row>
    <row r="4555" spans="1:3" x14ac:dyDescent="0.25">
      <c r="A4555" t="str">
        <f>"600102461"</f>
        <v>600102461</v>
      </c>
      <c r="B4555" t="str">
        <f>"EHPAD RESIDENCE LE CEDRE"</f>
        <v>EHPAD RESIDENCE LE CEDRE</v>
      </c>
      <c r="C4555" t="s">
        <v>68</v>
      </c>
    </row>
    <row r="4556" spans="1:3" x14ac:dyDescent="0.25">
      <c r="A4556" t="str">
        <f>"600102529"</f>
        <v>600102529</v>
      </c>
      <c r="B4556" t="str">
        <f>"EHPAD ARMÉE DU SALUT CHANTILLY"</f>
        <v>EHPAD ARMÉE DU SALUT CHANTILLY</v>
      </c>
      <c r="C4556" t="s">
        <v>68</v>
      </c>
    </row>
    <row r="4557" spans="1:3" x14ac:dyDescent="0.25">
      <c r="A4557" t="str">
        <f>"600102560"</f>
        <v>600102560</v>
      </c>
      <c r="B4557" t="str">
        <f>"ERMENONVILLE"</f>
        <v>ERMENONVILLE</v>
      </c>
      <c r="C4557" t="s">
        <v>68</v>
      </c>
    </row>
    <row r="4558" spans="1:3" x14ac:dyDescent="0.25">
      <c r="A4558" t="str">
        <f>"600102602"</f>
        <v>600102602</v>
      </c>
      <c r="B4558" t="str">
        <f>"EHPAD FORÊT CHANTILLY"</f>
        <v>EHPAD FORÊT CHANTILLY</v>
      </c>
      <c r="C4558" t="s">
        <v>68</v>
      </c>
    </row>
    <row r="4559" spans="1:3" x14ac:dyDescent="0.25">
      <c r="A4559" t="str">
        <f>"600102636"</f>
        <v>600102636</v>
      </c>
      <c r="B4559" t="str">
        <f>"EHPAD TEMPS DE VIE SONGEONS"</f>
        <v>EHPAD TEMPS DE VIE SONGEONS</v>
      </c>
      <c r="C4559" t="s">
        <v>68</v>
      </c>
    </row>
    <row r="4560" spans="1:3" x14ac:dyDescent="0.25">
      <c r="A4560" t="str">
        <f>"600102677"</f>
        <v>600102677</v>
      </c>
      <c r="B4560" t="str">
        <f>"EHPAD ROND ROYAL COMPIÈGNE"</f>
        <v>EHPAD ROND ROYAL COMPIÈGNE</v>
      </c>
      <c r="C4560" t="s">
        <v>68</v>
      </c>
    </row>
    <row r="4561" spans="1:3" x14ac:dyDescent="0.25">
      <c r="A4561" t="str">
        <f>"600102792"</f>
        <v>600102792</v>
      </c>
      <c r="B4561" t="str">
        <f>"EHPAD IROISE LABOISSIÈRE-EN-THELLE"</f>
        <v>EHPAD IROISE LABOISSIÈRE-EN-THELLE</v>
      </c>
      <c r="C4561" t="s">
        <v>68</v>
      </c>
    </row>
    <row r="4562" spans="1:3" x14ac:dyDescent="0.25">
      <c r="A4562" t="str">
        <f>"600102933"</f>
        <v>600102933</v>
      </c>
      <c r="B4562" t="str">
        <f>"EHPAD ÈVE"</f>
        <v>EHPAD ÈVE</v>
      </c>
      <c r="C4562" t="s">
        <v>68</v>
      </c>
    </row>
    <row r="4563" spans="1:3" x14ac:dyDescent="0.25">
      <c r="A4563" t="str">
        <f>"600103105"</f>
        <v>600103105</v>
      </c>
      <c r="B4563" t="str">
        <f>"EHPAD COMPASSION BEAUVAIS"</f>
        <v>EHPAD COMPASSION BEAUVAIS</v>
      </c>
      <c r="C4563" t="s">
        <v>68</v>
      </c>
    </row>
    <row r="4564" spans="1:3" x14ac:dyDescent="0.25">
      <c r="A4564" t="str">
        <f>"600103121"</f>
        <v>600103121</v>
      </c>
      <c r="B4564" t="str">
        <f>"EHPAD AMV NOGENT-SUR-OISE"</f>
        <v>EHPAD AMV NOGENT-SUR-OISE</v>
      </c>
      <c r="C4564" t="s">
        <v>68</v>
      </c>
    </row>
    <row r="4565" spans="1:3" x14ac:dyDescent="0.25">
      <c r="A4565" t="str">
        <f>"600103824"</f>
        <v>600103824</v>
      </c>
      <c r="B4565" t="str">
        <f>"CROUY-EN-THELLE"</f>
        <v>CROUY-EN-THELLE</v>
      </c>
      <c r="C4565" t="s">
        <v>68</v>
      </c>
    </row>
    <row r="4566" spans="1:3" x14ac:dyDescent="0.25">
      <c r="A4566" t="str">
        <f>"600105183"</f>
        <v>600105183</v>
      </c>
      <c r="B4566" t="str">
        <f>"EHPAD CHICN NOYON"</f>
        <v>EHPAD CHICN NOYON</v>
      </c>
      <c r="C4566" t="s">
        <v>68</v>
      </c>
    </row>
    <row r="4567" spans="1:3" x14ac:dyDescent="0.25">
      <c r="A4567" t="str">
        <f>"600105225"</f>
        <v>600105225</v>
      </c>
      <c r="B4567" t="str">
        <f>"EHPAD HL CRÉPY-EN-VALOIS PRIMEVÈRES"</f>
        <v>EHPAD HL CRÉPY-EN-VALOIS PRIMEVÈRES</v>
      </c>
      <c r="C4567" t="s">
        <v>68</v>
      </c>
    </row>
    <row r="4568" spans="1:3" x14ac:dyDescent="0.25">
      <c r="A4568" t="str">
        <f>"600105266"</f>
        <v>600105266</v>
      </c>
      <c r="B4568" t="str">
        <f>"EHPAD CH BEAUVAIS"</f>
        <v>EHPAD CH BEAUVAIS</v>
      </c>
      <c r="C4568" t="s">
        <v>68</v>
      </c>
    </row>
    <row r="4569" spans="1:3" x14ac:dyDescent="0.25">
      <c r="A4569" t="str">
        <f>"600105308"</f>
        <v>600105308</v>
      </c>
      <c r="B4569" t="str">
        <f>"EHPAD GHCPO MÉRU"</f>
        <v>EHPAD GHCPO MÉRU</v>
      </c>
      <c r="C4569" t="s">
        <v>68</v>
      </c>
    </row>
    <row r="4570" spans="1:3" x14ac:dyDescent="0.25">
      <c r="A4570" t="str">
        <f>"600106785"</f>
        <v>600106785</v>
      </c>
      <c r="B4570" t="str">
        <f>"EHPAD HL GRANDVILLIERS"</f>
        <v>EHPAD HL GRANDVILLIERS</v>
      </c>
      <c r="C4570" t="s">
        <v>68</v>
      </c>
    </row>
    <row r="4571" spans="1:3" x14ac:dyDescent="0.25">
      <c r="A4571" t="str">
        <f>"600107486"</f>
        <v>600107486</v>
      </c>
      <c r="B4571" t="str">
        <f>"EHPAD GHPSO SENLIS"</f>
        <v>EHPAD GHPSO SENLIS</v>
      </c>
      <c r="C4571" t="s">
        <v>68</v>
      </c>
    </row>
    <row r="4572" spans="1:3" x14ac:dyDescent="0.25">
      <c r="A4572" t="str">
        <f>"600107544"</f>
        <v>600107544</v>
      </c>
      <c r="B4572" t="str">
        <f>"EHPAD CH CLERMONT"</f>
        <v>EHPAD CH CLERMONT</v>
      </c>
      <c r="C4572" t="s">
        <v>68</v>
      </c>
    </row>
    <row r="4573" spans="1:3" x14ac:dyDescent="0.25">
      <c r="A4573" t="str">
        <f>"600107577"</f>
        <v>600107577</v>
      </c>
      <c r="B4573" t="str">
        <f>"EHPAD HL CRÉPY-EN-VALOIS ALSACE"</f>
        <v>EHPAD HL CRÉPY-EN-VALOIS ALSACE</v>
      </c>
      <c r="C4573" t="s">
        <v>68</v>
      </c>
    </row>
    <row r="4574" spans="1:3" x14ac:dyDescent="0.25">
      <c r="A4574" t="str">
        <f>"600107593"</f>
        <v>600107593</v>
      </c>
      <c r="B4574" t="str">
        <f>"EHPAD HL NANTEUIL-LE-HAUDOUIN"</f>
        <v>EHPAD HL NANTEUIL-LE-HAUDOUIN</v>
      </c>
      <c r="C4574" t="s">
        <v>68</v>
      </c>
    </row>
    <row r="4575" spans="1:3" x14ac:dyDescent="0.25">
      <c r="A4575" t="str">
        <f>"600109755"</f>
        <v>600109755</v>
      </c>
      <c r="B4575" t="str">
        <f>"EHPAD JARDINS D'EUGÉNIE PIERREFONDS"</f>
        <v>EHPAD JARDINS D'EUGÉNIE PIERREFONDS</v>
      </c>
      <c r="C4575" t="s">
        <v>68</v>
      </c>
    </row>
    <row r="4576" spans="1:3" x14ac:dyDescent="0.25">
      <c r="A4576" t="str">
        <f>"600110266"</f>
        <v>600110266</v>
      </c>
      <c r="B4576" t="str">
        <f>"EHPAD KORIAN LIEUVILLERS"</f>
        <v>EHPAD KORIAN LIEUVILLERS</v>
      </c>
      <c r="C4576" t="s">
        <v>68</v>
      </c>
    </row>
    <row r="4577" spans="1:3" x14ac:dyDescent="0.25">
      <c r="A4577" t="str">
        <f>"600110597"</f>
        <v>600110597</v>
      </c>
      <c r="B4577" t="str">
        <f>"EHPAD ORPEA NOYON"</f>
        <v>EHPAD ORPEA NOYON</v>
      </c>
      <c r="C4577" t="s">
        <v>68</v>
      </c>
    </row>
    <row r="4578" spans="1:3" x14ac:dyDescent="0.25">
      <c r="A4578" t="str">
        <f>"600110670"</f>
        <v>600110670</v>
      </c>
      <c r="B4578" t="str">
        <f>"EHPAD LES JARDINS DE NAMPCEL"</f>
        <v>EHPAD LES JARDINS DE NAMPCEL</v>
      </c>
      <c r="C4578" t="s">
        <v>68</v>
      </c>
    </row>
    <row r="4579" spans="1:3" x14ac:dyDescent="0.25">
      <c r="A4579" t="str">
        <f>"600110696"</f>
        <v>600110696</v>
      </c>
      <c r="B4579" t="str">
        <f>"EHPAD KORIAN LA GRANGE DES PRES"</f>
        <v>EHPAD KORIAN LA GRANGE DES PRES</v>
      </c>
      <c r="C4579" t="s">
        <v>68</v>
      </c>
    </row>
    <row r="4580" spans="1:3" x14ac:dyDescent="0.25">
      <c r="A4580" t="str">
        <f>"600111041"</f>
        <v>600111041</v>
      </c>
      <c r="B4580" t="str">
        <f>"EHPAD CHICN COMPIÈGNE"</f>
        <v>EHPAD CHICN COMPIÈGNE</v>
      </c>
      <c r="C4580" t="s">
        <v>68</v>
      </c>
    </row>
    <row r="4581" spans="1:3" x14ac:dyDescent="0.25">
      <c r="A4581" t="str">
        <f>"600111058"</f>
        <v>600111058</v>
      </c>
      <c r="B4581" t="str">
        <f>"EHPAD DOLCÉA COMPIÈGNE"</f>
        <v>EHPAD DOLCÉA COMPIÈGNE</v>
      </c>
      <c r="C4581" t="s">
        <v>68</v>
      </c>
    </row>
    <row r="4582" spans="1:3" x14ac:dyDescent="0.25">
      <c r="A4582" t="str">
        <f>"600111066"</f>
        <v>600111066</v>
      </c>
      <c r="B4582" t="str">
        <f>"EHPAD SAINT-CRÉPIN-IBOUVILLERS"</f>
        <v>EHPAD SAINT-CRÉPIN-IBOUVILLERS</v>
      </c>
      <c r="C4582" t="s">
        <v>68</v>
      </c>
    </row>
    <row r="4583" spans="1:3" x14ac:dyDescent="0.25">
      <c r="A4583" t="str">
        <f>"600111405"</f>
        <v>600111405</v>
      </c>
      <c r="B4583" t="str">
        <f>"EHPAD HL CRÈVECOEUR-LE-GRAND"</f>
        <v>EHPAD HL CRÈVECOEUR-LE-GRAND</v>
      </c>
      <c r="C4583" t="s">
        <v>68</v>
      </c>
    </row>
    <row r="4584" spans="1:3" x14ac:dyDescent="0.25">
      <c r="A4584" t="str">
        <f>"600111520"</f>
        <v>600111520</v>
      </c>
      <c r="B4584" t="str">
        <f>"EHPAD LA VALOUISE"</f>
        <v>EHPAD LA VALOUISE</v>
      </c>
      <c r="C4584" t="s">
        <v>68</v>
      </c>
    </row>
    <row r="4585" spans="1:3" x14ac:dyDescent="0.25">
      <c r="A4585" t="str">
        <f>"600111827"</f>
        <v>600111827</v>
      </c>
      <c r="B4585" t="str">
        <f>"EHPAD ÂGE D'OR BEAUVAIS"</f>
        <v>EHPAD ÂGE D'OR BEAUVAIS</v>
      </c>
      <c r="C4585" t="s">
        <v>68</v>
      </c>
    </row>
    <row r="4586" spans="1:3" x14ac:dyDescent="0.25">
      <c r="A4586" t="str">
        <f>"600112478"</f>
        <v>600112478</v>
      </c>
      <c r="B4586" t="str">
        <f>"LES JARDINS DE LA TOUR"</f>
        <v>LES JARDINS DE LA TOUR</v>
      </c>
      <c r="C4586" t="s">
        <v>68</v>
      </c>
    </row>
    <row r="4587" spans="1:3" x14ac:dyDescent="0.25">
      <c r="A4587" t="str">
        <f>"600113484"</f>
        <v>600113484</v>
      </c>
      <c r="B4587" t="str">
        <f>"LES LYS"</f>
        <v>LES LYS</v>
      </c>
      <c r="C4587" t="s">
        <v>68</v>
      </c>
    </row>
    <row r="4588" spans="1:3" x14ac:dyDescent="0.25">
      <c r="A4588" t="str">
        <f>"600113674"</f>
        <v>600113674</v>
      </c>
      <c r="B4588" t="str">
        <f>"EHPAD COLISÉE MARGNY-LES-COMPIÈGNE"</f>
        <v>EHPAD COLISÉE MARGNY-LES-COMPIÈGNE</v>
      </c>
      <c r="C4588" t="s">
        <v>68</v>
      </c>
    </row>
    <row r="4589" spans="1:3" x14ac:dyDescent="0.25">
      <c r="A4589" t="str">
        <f>"610002636"</f>
        <v>610002636</v>
      </c>
      <c r="B4589" t="str">
        <f>"EHPAD 'LA MISERICORDE' - SEES"</f>
        <v>EHPAD 'LA MISERICORDE' - SEES</v>
      </c>
      <c r="C4589" t="s">
        <v>69</v>
      </c>
    </row>
    <row r="4590" spans="1:3" x14ac:dyDescent="0.25">
      <c r="A4590" t="str">
        <f>"610004368"</f>
        <v>610004368</v>
      </c>
      <c r="B4590" t="str">
        <f>"UNITÉ D'ACCUEIL DE JOUR 'L'INTERMEDE'"</f>
        <v>UNITÉ D'ACCUEIL DE JOUR 'L'INTERMEDE'</v>
      </c>
      <c r="C4590" t="s">
        <v>69</v>
      </c>
    </row>
    <row r="4591" spans="1:3" x14ac:dyDescent="0.25">
      <c r="A4591" t="str">
        <f>"610004798"</f>
        <v>610004798</v>
      </c>
      <c r="B4591" t="str">
        <f>"EHPAD 'RÉSIDENCE LA VIE' - VIMOUTIERS"</f>
        <v>EHPAD 'RÉSIDENCE LA VIE' - VIMOUTIERS</v>
      </c>
      <c r="C4591" t="s">
        <v>69</v>
      </c>
    </row>
    <row r="4592" spans="1:3" x14ac:dyDescent="0.25">
      <c r="A4592" t="str">
        <f>"610005449"</f>
        <v>610005449</v>
      </c>
      <c r="B4592" t="str">
        <f>"EHPAD KORIAN 'LE DIAMANT' - ALENCON"</f>
        <v>EHPAD KORIAN 'LE DIAMANT' - ALENCON</v>
      </c>
      <c r="C4592" t="s">
        <v>69</v>
      </c>
    </row>
    <row r="4593" spans="1:3" x14ac:dyDescent="0.25">
      <c r="A4593" t="str">
        <f>"610006280"</f>
        <v>610006280</v>
      </c>
      <c r="B4593" t="str">
        <f>"EHPAD 'LES PASTELS' -ALENCON"</f>
        <v>EHPAD 'LES PASTELS' -ALENCON</v>
      </c>
      <c r="C4593" t="s">
        <v>69</v>
      </c>
    </row>
    <row r="4594" spans="1:3" x14ac:dyDescent="0.25">
      <c r="A4594" t="str">
        <f>"610006363"</f>
        <v>610006363</v>
      </c>
      <c r="B4594" t="str">
        <f>"EHPAD RESIDENCE OPALE - AUBE"</f>
        <v>EHPAD RESIDENCE OPALE - AUBE</v>
      </c>
      <c r="C4594" t="s">
        <v>69</v>
      </c>
    </row>
    <row r="4595" spans="1:3" x14ac:dyDescent="0.25">
      <c r="A4595" t="str">
        <f>"610006488"</f>
        <v>610006488</v>
      </c>
      <c r="B4595" t="str">
        <f>"EHPAD RESIDENCE PIERRE NOAL - PUTANGES"</f>
        <v>EHPAD RESIDENCE PIERRE NOAL - PUTANGES</v>
      </c>
      <c r="C4595" t="s">
        <v>69</v>
      </c>
    </row>
    <row r="4596" spans="1:3" x14ac:dyDescent="0.25">
      <c r="A4596" t="str">
        <f>"610780488"</f>
        <v>610780488</v>
      </c>
      <c r="B4596" t="str">
        <f>"EHPAD 'LE SACRE COEUR'-ATHIS-DE-L'ORNE"</f>
        <v>EHPAD 'LE SACRE COEUR'-ATHIS-DE-L'ORNE</v>
      </c>
      <c r="C4596" t="s">
        <v>69</v>
      </c>
    </row>
    <row r="4597" spans="1:3" x14ac:dyDescent="0.25">
      <c r="A4597" t="str">
        <f>"610780629"</f>
        <v>610780629</v>
      </c>
      <c r="B4597" t="str">
        <f>"EHPAD 'LA PROVIDENCE'-LONGNY AU PERCHE"</f>
        <v>EHPAD 'LA PROVIDENCE'-LONGNY AU PERCHE</v>
      </c>
      <c r="C4597" t="s">
        <v>69</v>
      </c>
    </row>
    <row r="4598" spans="1:3" x14ac:dyDescent="0.25">
      <c r="A4598" t="str">
        <f>"610780744"</f>
        <v>610780744</v>
      </c>
      <c r="B4598" t="str">
        <f>"EHPAD 'AUDELIN LEJEUNE' - LE SAP"</f>
        <v>EHPAD 'AUDELIN LEJEUNE' - LE SAP</v>
      </c>
      <c r="C4598" t="s">
        <v>69</v>
      </c>
    </row>
    <row r="4599" spans="1:3" x14ac:dyDescent="0.25">
      <c r="A4599" t="str">
        <f>"610780777"</f>
        <v>610780777</v>
      </c>
      <c r="B4599" t="str">
        <f>"EHPAD RÉSIDENCE NOTRE DAME - BRIOUZE"</f>
        <v>EHPAD RÉSIDENCE NOTRE DAME - BRIOUZE</v>
      </c>
      <c r="C4599" t="s">
        <v>69</v>
      </c>
    </row>
    <row r="4600" spans="1:3" x14ac:dyDescent="0.25">
      <c r="A4600" t="str">
        <f>"610780942"</f>
        <v>610780942</v>
      </c>
      <c r="B4600" t="str">
        <f>"EHPAD 'LES MYOSOTIS'"</f>
        <v>EHPAD 'LES MYOSOTIS'</v>
      </c>
      <c r="C4600" t="s">
        <v>69</v>
      </c>
    </row>
    <row r="4601" spans="1:3" x14ac:dyDescent="0.25">
      <c r="A4601" t="str">
        <f>"610780967"</f>
        <v>610780967</v>
      </c>
      <c r="B4601" t="str">
        <f>"EHPAD 'LES HAUTS VENTS' - FLERS"</f>
        <v>EHPAD 'LES HAUTS VENTS' - FLERS</v>
      </c>
      <c r="C4601" t="s">
        <v>69</v>
      </c>
    </row>
    <row r="4602" spans="1:3" x14ac:dyDescent="0.25">
      <c r="A4602" t="str">
        <f>"610781270"</f>
        <v>610781270</v>
      </c>
      <c r="B4602" t="str">
        <f>"EHPAD 'SAINTE-ANNE'"</f>
        <v>EHPAD 'SAINTE-ANNE'</v>
      </c>
      <c r="C4602" t="s">
        <v>69</v>
      </c>
    </row>
    <row r="4603" spans="1:3" x14ac:dyDescent="0.25">
      <c r="A4603" t="str">
        <f>"610781320"</f>
        <v>610781320</v>
      </c>
      <c r="B4603" t="str">
        <f>"EHPAD 'LA RIMBLIERE' - DAMIGNY"</f>
        <v>EHPAD 'LA RIMBLIERE' - DAMIGNY</v>
      </c>
      <c r="C4603" t="s">
        <v>69</v>
      </c>
    </row>
    <row r="4604" spans="1:3" x14ac:dyDescent="0.25">
      <c r="A4604" t="str">
        <f>"610781338"</f>
        <v>610781338</v>
      </c>
      <c r="B4604" t="str">
        <f>"EHPAD  LA RESIDENCE FLEURIE - COULONGE"</f>
        <v>EHPAD  LA RESIDENCE FLEURIE - COULONGE</v>
      </c>
      <c r="C4604" t="s">
        <v>69</v>
      </c>
    </row>
    <row r="4605" spans="1:3" x14ac:dyDescent="0.25">
      <c r="A4605" t="str">
        <f>"610781502"</f>
        <v>610781502</v>
      </c>
      <c r="B4605" t="str">
        <f>"EHPAD 'JEAN BAPTISTE LECORNU' - FLERS"</f>
        <v>EHPAD 'JEAN BAPTISTE LECORNU' - FLERS</v>
      </c>
      <c r="C4605" t="s">
        <v>69</v>
      </c>
    </row>
    <row r="4606" spans="1:3" x14ac:dyDescent="0.25">
      <c r="A4606" t="str">
        <f>"610781569"</f>
        <v>610781569</v>
      </c>
      <c r="B4606" t="str">
        <f>"EHPAD 'LA FORET' - BAGNOLES-DE-L'ORNE"</f>
        <v>EHPAD 'LA FORET' - BAGNOLES-DE-L'ORNE</v>
      </c>
      <c r="C4606" t="s">
        <v>69</v>
      </c>
    </row>
    <row r="4607" spans="1:3" x14ac:dyDescent="0.25">
      <c r="A4607" t="str">
        <f>"610781619"</f>
        <v>610781619</v>
      </c>
      <c r="B4607" t="str">
        <f>"EHPAD 'SAINTE MARIE' - GACE"</f>
        <v>EHPAD 'SAINTE MARIE' - GACE</v>
      </c>
      <c r="C4607" t="s">
        <v>69</v>
      </c>
    </row>
    <row r="4608" spans="1:3" x14ac:dyDescent="0.25">
      <c r="A4608" t="str">
        <f>"610782260"</f>
        <v>610782260</v>
      </c>
      <c r="B4608" t="str">
        <f>"EHPAD GLOS LA FERRIERE"</f>
        <v>EHPAD GLOS LA FERRIERE</v>
      </c>
      <c r="C4608" t="s">
        <v>69</v>
      </c>
    </row>
    <row r="4609" spans="1:3" x14ac:dyDescent="0.25">
      <c r="A4609" t="str">
        <f>"610784159"</f>
        <v>610784159</v>
      </c>
      <c r="B4609" t="str">
        <f>"EHPAD LA MAISON DES AINÉS - CARROUGES"</f>
        <v>EHPAD LA MAISON DES AINÉS - CARROUGES</v>
      </c>
      <c r="C4609" t="s">
        <v>69</v>
      </c>
    </row>
    <row r="4610" spans="1:3" x14ac:dyDescent="0.25">
      <c r="A4610" t="str">
        <f>"610784167"</f>
        <v>610784167</v>
      </c>
      <c r="B4610" t="str">
        <f>"EHPAD DES ANDAINES - COUTERNE"</f>
        <v>EHPAD DES ANDAINES - COUTERNE</v>
      </c>
      <c r="C4610" t="s">
        <v>69</v>
      </c>
    </row>
    <row r="4611" spans="1:3" x14ac:dyDescent="0.25">
      <c r="A4611" t="str">
        <f>"610784175"</f>
        <v>610784175</v>
      </c>
      <c r="B4611" t="str">
        <f>"EHPAD - ECOUCHE"</f>
        <v>EHPAD - ECOUCHE</v>
      </c>
      <c r="C4611" t="s">
        <v>69</v>
      </c>
    </row>
    <row r="4612" spans="1:3" x14ac:dyDescent="0.25">
      <c r="A4612" t="str">
        <f>"610784183"</f>
        <v>610784183</v>
      </c>
      <c r="B4612" t="str">
        <f>"EHPAD P. WADIER DE TRUN"</f>
        <v>EHPAD P. WADIER DE TRUN</v>
      </c>
      <c r="C4612" t="s">
        <v>69</v>
      </c>
    </row>
    <row r="4613" spans="1:3" x14ac:dyDescent="0.25">
      <c r="A4613" t="str">
        <f>"610784191"</f>
        <v>610784191</v>
      </c>
      <c r="B4613" t="str">
        <f>"EHPAD DES ANDAINES-LA CHAPELLE D'ANDAI"</f>
        <v>EHPAD DES ANDAINES-LA CHAPELLE D'ANDAI</v>
      </c>
      <c r="C4613" t="s">
        <v>69</v>
      </c>
    </row>
    <row r="4614" spans="1:3" x14ac:dyDescent="0.25">
      <c r="A4614" t="str">
        <f>"610784209"</f>
        <v>610784209</v>
      </c>
      <c r="B4614" t="str">
        <f>"EHPAD 'LES GRANDS PRES'-BRETONCELLES"</f>
        <v>EHPAD 'LES GRANDS PRES'-BRETONCELLES</v>
      </c>
      <c r="C4614" t="s">
        <v>69</v>
      </c>
    </row>
    <row r="4615" spans="1:3" x14ac:dyDescent="0.25">
      <c r="A4615" t="str">
        <f>"610784217"</f>
        <v>610784217</v>
      </c>
      <c r="B4615" t="str">
        <f>"EHPAD 'LES TILLEULS' - CHANU"</f>
        <v>EHPAD 'LES TILLEULS' - CHANU</v>
      </c>
      <c r="C4615" t="s">
        <v>69</v>
      </c>
    </row>
    <row r="4616" spans="1:3" x14ac:dyDescent="0.25">
      <c r="A4616" t="str">
        <f>"610784225"</f>
        <v>610784225</v>
      </c>
      <c r="B4616" t="str">
        <f>"EHPAD 'BRIERE LEMPERIERE' - ECHAUFFOUR"</f>
        <v>EHPAD 'BRIERE LEMPERIERE' - ECHAUFFOUR</v>
      </c>
      <c r="C4616" t="s">
        <v>69</v>
      </c>
    </row>
    <row r="4617" spans="1:3" x14ac:dyDescent="0.25">
      <c r="A4617" t="str">
        <f>"610784233"</f>
        <v>610784233</v>
      </c>
      <c r="B4617" t="str">
        <f>"EHPAD 'LA PELLONNIERE' -PIN LA GARENNE"</f>
        <v>EHPAD 'LA PELLONNIERE' -PIN LA GARENNE</v>
      </c>
      <c r="C4617" t="s">
        <v>69</v>
      </c>
    </row>
    <row r="4618" spans="1:3" x14ac:dyDescent="0.25">
      <c r="A4618" t="str">
        <f>"610784241"</f>
        <v>610784241</v>
      </c>
      <c r="B4618" t="str">
        <f>"EHPAD 'LA ROSE DES VENTS'-HL BELLEME"</f>
        <v>EHPAD 'LA ROSE DES VENTS'-HL BELLEME</v>
      </c>
      <c r="C4618" t="s">
        <v>69</v>
      </c>
    </row>
    <row r="4619" spans="1:3" x14ac:dyDescent="0.25">
      <c r="A4619" t="str">
        <f>"610784266"</f>
        <v>610784266</v>
      </c>
      <c r="B4619" t="str">
        <f>"EHPAD MAUBERT- CH FLERS"</f>
        <v>EHPAD MAUBERT- CH FLERS</v>
      </c>
      <c r="C4619" t="s">
        <v>69</v>
      </c>
    </row>
    <row r="4620" spans="1:3" x14ac:dyDescent="0.25">
      <c r="A4620" t="str">
        <f>"610784381"</f>
        <v>610784381</v>
      </c>
      <c r="B4620" t="str">
        <f>"EHPAD - CH ANDAINES"</f>
        <v>EHPAD - CH ANDAINES</v>
      </c>
      <c r="C4620" t="s">
        <v>69</v>
      </c>
    </row>
    <row r="4621" spans="1:3" x14ac:dyDescent="0.25">
      <c r="A4621" t="str">
        <f>"610784472"</f>
        <v>610784472</v>
      </c>
      <c r="B4621" t="str">
        <f>"EHPAD 'LES EPICEAS' - TINCHEBRAY"</f>
        <v>EHPAD 'LES EPICEAS' - TINCHEBRAY</v>
      </c>
      <c r="C4621" t="s">
        <v>69</v>
      </c>
    </row>
    <row r="4622" spans="1:3" x14ac:dyDescent="0.25">
      <c r="A4622" t="str">
        <f>"610784498"</f>
        <v>610784498</v>
      </c>
      <c r="B4622" t="str">
        <f>"EHPAD ANAIS DE SÉES"</f>
        <v>EHPAD ANAIS DE SÉES</v>
      </c>
      <c r="C4622" t="s">
        <v>69</v>
      </c>
    </row>
    <row r="4623" spans="1:3" x14ac:dyDescent="0.25">
      <c r="A4623" t="str">
        <f>"610784506"</f>
        <v>610784506</v>
      </c>
      <c r="B4623" t="str">
        <f>"EHPAD 'SAINTE VENISSE' - CETON"</f>
        <v>EHPAD 'SAINTE VENISSE' - CETON</v>
      </c>
      <c r="C4623" t="s">
        <v>69</v>
      </c>
    </row>
    <row r="4624" spans="1:3" x14ac:dyDescent="0.25">
      <c r="A4624" t="str">
        <f>"610784530"</f>
        <v>610784530</v>
      </c>
      <c r="B4624" t="str">
        <f>"EHPAD 'SAINT VINCENT DE PAUL'-OCCAGNES"</f>
        <v>EHPAD 'SAINT VINCENT DE PAUL'-OCCAGNES</v>
      </c>
      <c r="C4624" t="s">
        <v>69</v>
      </c>
    </row>
    <row r="4625" spans="1:3" x14ac:dyDescent="0.25">
      <c r="A4625" t="str">
        <f>"610784639"</f>
        <v>610784639</v>
      </c>
      <c r="B4625" t="str">
        <f>"EHPAD - CH ARGENTAN"</f>
        <v>EHPAD - CH ARGENTAN</v>
      </c>
      <c r="C4625" t="s">
        <v>69</v>
      </c>
    </row>
    <row r="4626" spans="1:3" x14ac:dyDescent="0.25">
      <c r="A4626" t="str">
        <f>"610784787"</f>
        <v>610784787</v>
      </c>
      <c r="B4626" t="str">
        <f>"EHPAD 'CHARLES AVELINE' - ALENCON"</f>
        <v>EHPAD 'CHARLES AVELINE' - ALENCON</v>
      </c>
      <c r="C4626" t="s">
        <v>69</v>
      </c>
    </row>
    <row r="4627" spans="1:3" x14ac:dyDescent="0.25">
      <c r="A4627" t="str">
        <f>"610787350"</f>
        <v>610787350</v>
      </c>
      <c r="B4627" t="str">
        <f>"EHPAD - HL SEES"</f>
        <v>EHPAD - HL SEES</v>
      </c>
      <c r="C4627" t="s">
        <v>69</v>
      </c>
    </row>
    <row r="4628" spans="1:3" x14ac:dyDescent="0.25">
      <c r="A4628" t="str">
        <f>"610787376"</f>
        <v>610787376</v>
      </c>
      <c r="B4628" t="str">
        <f>"EHPAD SITE CH - CH MORTAGNE"</f>
        <v>EHPAD SITE CH - CH MORTAGNE</v>
      </c>
      <c r="C4628" t="s">
        <v>69</v>
      </c>
    </row>
    <row r="4629" spans="1:3" x14ac:dyDescent="0.25">
      <c r="A4629" t="str">
        <f>"610787392"</f>
        <v>610787392</v>
      </c>
      <c r="B4629" t="str">
        <f>"EHPAD CHIC ANDAINES - DOMFRONT"</f>
        <v>EHPAD CHIC ANDAINES - DOMFRONT</v>
      </c>
      <c r="C4629" t="s">
        <v>69</v>
      </c>
    </row>
    <row r="4630" spans="1:3" x14ac:dyDescent="0.25">
      <c r="A4630" t="str">
        <f>"610787749"</f>
        <v>610787749</v>
      </c>
      <c r="B4630" t="str">
        <f>"EHPAD - CH VIMOUTIERS"</f>
        <v>EHPAD - CH VIMOUTIERS</v>
      </c>
      <c r="C4630" t="s">
        <v>69</v>
      </c>
    </row>
    <row r="4631" spans="1:3" x14ac:dyDescent="0.25">
      <c r="A4631" t="str">
        <f>"610787814"</f>
        <v>610787814</v>
      </c>
      <c r="B4631" t="str">
        <f>"EHPAD SITE CH - CH L'AIGLE"</f>
        <v>EHPAD SITE CH - CH L'AIGLE</v>
      </c>
      <c r="C4631" t="s">
        <v>69</v>
      </c>
    </row>
    <row r="4632" spans="1:3" x14ac:dyDescent="0.25">
      <c r="A4632" t="str">
        <f>"610789422"</f>
        <v>610789422</v>
      </c>
      <c r="B4632" t="str">
        <f>"EHPAD 'L'HORIZON'-ST GEORGES DES GROS"</f>
        <v>EHPAD 'L'HORIZON'-ST GEORGES DES GROS</v>
      </c>
      <c r="C4632" t="s">
        <v>69</v>
      </c>
    </row>
    <row r="4633" spans="1:3" x14ac:dyDescent="0.25">
      <c r="A4633" t="str">
        <f>"610789802"</f>
        <v>610789802</v>
      </c>
      <c r="B4633" t="str">
        <f>"EHPAD 'LA SENATORERIE' - ALENCON"</f>
        <v>EHPAD 'LA SENATORERIE' - ALENCON</v>
      </c>
      <c r="C4633" t="s">
        <v>69</v>
      </c>
    </row>
    <row r="4634" spans="1:3" x14ac:dyDescent="0.25">
      <c r="A4634" t="str">
        <f>"610789869"</f>
        <v>610789869</v>
      </c>
      <c r="B4634" t="str">
        <f>"EHPAD 'RESIDENCE NEYRET' - CETON"</f>
        <v>EHPAD 'RESIDENCE NEYRET' - CETON</v>
      </c>
      <c r="C4634" t="s">
        <v>69</v>
      </c>
    </row>
    <row r="4635" spans="1:3" x14ac:dyDescent="0.25">
      <c r="A4635" t="str">
        <f>"610789927"</f>
        <v>610789927</v>
      </c>
      <c r="B4635" t="str">
        <f>"EHPAD RESIDENCE ARPEGE"</f>
        <v>EHPAD RESIDENCE ARPEGE</v>
      </c>
      <c r="C4635" t="s">
        <v>69</v>
      </c>
    </row>
    <row r="4636" spans="1:3" x14ac:dyDescent="0.25">
      <c r="A4636" t="str">
        <f>"610790206"</f>
        <v>610790206</v>
      </c>
      <c r="B4636" t="str">
        <f>"EHPAD 'LE GRAND JARDIN' - LE SAP"</f>
        <v>EHPAD 'LE GRAND JARDIN' - LE SAP</v>
      </c>
      <c r="C4636" t="s">
        <v>69</v>
      </c>
    </row>
    <row r="4637" spans="1:3" x14ac:dyDescent="0.25">
      <c r="A4637" t="str">
        <f>"610790248"</f>
        <v>610790248</v>
      </c>
      <c r="B4637" t="str">
        <f>"EHPAD 'LES LAURENTIDES' - TOUROUVRE"</f>
        <v>EHPAD 'LES LAURENTIDES' - TOUROUVRE</v>
      </c>
      <c r="C4637" t="s">
        <v>69</v>
      </c>
    </row>
    <row r="4638" spans="1:3" x14ac:dyDescent="0.25">
      <c r="A4638" t="str">
        <f>"610790255"</f>
        <v>610790255</v>
      </c>
      <c r="B4638" t="str">
        <f>"EHPAD ANAIS DE BRIOUZE"</f>
        <v>EHPAD ANAIS DE BRIOUZE</v>
      </c>
      <c r="C4638" t="s">
        <v>69</v>
      </c>
    </row>
    <row r="4639" spans="1:3" x14ac:dyDescent="0.25">
      <c r="A4639" t="str">
        <f>"610790669"</f>
        <v>610790669</v>
      </c>
      <c r="B4639" t="str">
        <f>"EHPAD HOME MOULINOIS - CH L'AIGLE"</f>
        <v>EHPAD HOME MOULINOIS - CH L'AIGLE</v>
      </c>
      <c r="C4639" t="s">
        <v>69</v>
      </c>
    </row>
    <row r="4640" spans="1:3" x14ac:dyDescent="0.25">
      <c r="A4640" t="str">
        <f>"610790677"</f>
        <v>610790677</v>
      </c>
      <c r="B4640" t="str">
        <f>"EHPAD 'L'AIGLONTINE' - CH L'AIGLE"</f>
        <v>EHPAD 'L'AIGLONTINE' - CH L'AIGLE</v>
      </c>
      <c r="C4640" t="s">
        <v>69</v>
      </c>
    </row>
    <row r="4641" spans="1:3" x14ac:dyDescent="0.25">
      <c r="A4641" t="str">
        <f>"610790693"</f>
        <v>610790693</v>
      </c>
      <c r="B4641" t="str">
        <f>"EHPAD 'LE MOULIN A VENT' - CH MORTAGNE"</f>
        <v>EHPAD 'LE MOULIN A VENT' - CH MORTAGNE</v>
      </c>
      <c r="C4641" t="s">
        <v>69</v>
      </c>
    </row>
    <row r="4642" spans="1:3" x14ac:dyDescent="0.25">
      <c r="A4642" t="str">
        <f>"610790750"</f>
        <v>610790750</v>
      </c>
      <c r="B4642" t="str">
        <f>"EHPAD L'ESPRIT DE FAMILLE - TINCHEBRAY"</f>
        <v>EHPAD L'ESPRIT DE FAMILLE - TINCHEBRAY</v>
      </c>
      <c r="C4642" t="s">
        <v>69</v>
      </c>
    </row>
    <row r="4643" spans="1:3" x14ac:dyDescent="0.25">
      <c r="A4643" t="str">
        <f>"620000901"</f>
        <v>620000901</v>
      </c>
      <c r="B4643" t="str">
        <f>"EHPAD ALLART DE FOURMENT CH FREVENT"</f>
        <v>EHPAD ALLART DE FOURMENT CH FREVENT</v>
      </c>
      <c r="C4643" t="s">
        <v>68</v>
      </c>
    </row>
    <row r="4644" spans="1:3" x14ac:dyDescent="0.25">
      <c r="A4644" t="str">
        <f>"620003277"</f>
        <v>620003277</v>
      </c>
      <c r="B4644" t="str">
        <f>"EHPAD  LES VERRIERES"</f>
        <v>EHPAD  LES VERRIERES</v>
      </c>
      <c r="C4644" t="s">
        <v>68</v>
      </c>
    </row>
    <row r="4645" spans="1:3" x14ac:dyDescent="0.25">
      <c r="A4645" t="str">
        <f>"620003285"</f>
        <v>620003285</v>
      </c>
      <c r="B4645" t="str">
        <f>"EHPAD.'MARIE CURIE'"</f>
        <v>EHPAD.'MARIE CURIE'</v>
      </c>
      <c r="C4645" t="s">
        <v>68</v>
      </c>
    </row>
    <row r="4646" spans="1:3" x14ac:dyDescent="0.25">
      <c r="A4646" t="str">
        <f>"620003632"</f>
        <v>620003632</v>
      </c>
      <c r="B4646" t="str">
        <f>"EHPAD 'RAYMOND DUFAY'"</f>
        <v>EHPAD 'RAYMOND DUFAY'</v>
      </c>
      <c r="C4646" t="s">
        <v>68</v>
      </c>
    </row>
    <row r="4647" spans="1:3" x14ac:dyDescent="0.25">
      <c r="A4647" t="str">
        <f>"620003723"</f>
        <v>620003723</v>
      </c>
      <c r="B4647" t="str">
        <f>"EHPAD 'SOLEIL D'AUTOMNE'"</f>
        <v>EHPAD 'SOLEIL D'AUTOMNE'</v>
      </c>
      <c r="C4647" t="s">
        <v>68</v>
      </c>
    </row>
    <row r="4648" spans="1:3" x14ac:dyDescent="0.25">
      <c r="A4648" t="str">
        <f>"620003905"</f>
        <v>620003905</v>
      </c>
      <c r="B4648" t="str">
        <f>"EHPAD DE P. BOLLE"</f>
        <v>EHPAD DE P. BOLLE</v>
      </c>
      <c r="C4648" t="s">
        <v>68</v>
      </c>
    </row>
    <row r="4649" spans="1:3" x14ac:dyDescent="0.25">
      <c r="A4649" t="str">
        <f>"620004697"</f>
        <v>620004697</v>
      </c>
      <c r="B4649" t="str">
        <f>"EHPAD 'L'AQUARELLE'"</f>
        <v>EHPAD 'L'AQUARELLE'</v>
      </c>
      <c r="C4649" t="s">
        <v>68</v>
      </c>
    </row>
    <row r="4650" spans="1:3" x14ac:dyDescent="0.25">
      <c r="A4650" t="str">
        <f>"620004747"</f>
        <v>620004747</v>
      </c>
      <c r="B4650" t="str">
        <f>"EHPAD 4 SAISONS"</f>
        <v>EHPAD 4 SAISONS</v>
      </c>
      <c r="C4650" t="s">
        <v>68</v>
      </c>
    </row>
    <row r="4651" spans="1:3" x14ac:dyDescent="0.25">
      <c r="A4651" t="str">
        <f>"620004762"</f>
        <v>620004762</v>
      </c>
      <c r="B4651" t="str">
        <f>"EHPAD RÉSIDENCE ARPAGE STENHUIS"</f>
        <v>EHPAD RÉSIDENCE ARPAGE STENHUIS</v>
      </c>
      <c r="C4651" t="s">
        <v>68</v>
      </c>
    </row>
    <row r="4652" spans="1:3" x14ac:dyDescent="0.25">
      <c r="A4652" t="str">
        <f>"620004846"</f>
        <v>620004846</v>
      </c>
      <c r="B4652" t="str">
        <f>"EHPAD L'OCEANE"</f>
        <v>EHPAD L'OCEANE</v>
      </c>
      <c r="C4652" t="s">
        <v>68</v>
      </c>
    </row>
    <row r="4653" spans="1:3" x14ac:dyDescent="0.25">
      <c r="A4653" t="str">
        <f>"620015768"</f>
        <v>620015768</v>
      </c>
      <c r="B4653" t="str">
        <f>"EHPAD LES HÉLIANTINES"</f>
        <v>EHPAD LES HÉLIANTINES</v>
      </c>
      <c r="C4653" t="s">
        <v>68</v>
      </c>
    </row>
    <row r="4654" spans="1:3" x14ac:dyDescent="0.25">
      <c r="A4654" t="str">
        <f>"620015818"</f>
        <v>620015818</v>
      </c>
      <c r="B4654" t="str">
        <f>"EHPAD LES HÉLIANTINES"</f>
        <v>EHPAD LES HÉLIANTINES</v>
      </c>
      <c r="C4654" t="s">
        <v>68</v>
      </c>
    </row>
    <row r="4655" spans="1:3" x14ac:dyDescent="0.25">
      <c r="A4655" t="str">
        <f>"620015859"</f>
        <v>620015859</v>
      </c>
      <c r="B4655" t="str">
        <f>"EHPAD LES HÉLIANTINES"</f>
        <v>EHPAD LES HÉLIANTINES</v>
      </c>
      <c r="C4655" t="s">
        <v>68</v>
      </c>
    </row>
    <row r="4656" spans="1:3" x14ac:dyDescent="0.25">
      <c r="A4656" t="str">
        <f>"620015909"</f>
        <v>620015909</v>
      </c>
      <c r="B4656" t="str">
        <f>"EHPAD RESIDENCE LES LYS"</f>
        <v>EHPAD RESIDENCE LES LYS</v>
      </c>
      <c r="C4656" t="s">
        <v>68</v>
      </c>
    </row>
    <row r="4657" spans="1:3" x14ac:dyDescent="0.25">
      <c r="A4657" t="str">
        <f>"620016048"</f>
        <v>620016048</v>
      </c>
      <c r="B4657" t="str">
        <f>"ACCUEIL DE JOUR L'HORIZON - CHAM"</f>
        <v>ACCUEIL DE JOUR L'HORIZON - CHAM</v>
      </c>
      <c r="C4657" t="s">
        <v>68</v>
      </c>
    </row>
    <row r="4658" spans="1:3" x14ac:dyDescent="0.25">
      <c r="A4658" t="str">
        <f>"620016139"</f>
        <v>620016139</v>
      </c>
      <c r="B4658" t="str">
        <f>"EHPAD CHAUMIERE DE LA GRANDE TURELLE"</f>
        <v>EHPAD CHAUMIERE DE LA GRANDE TURELLE</v>
      </c>
      <c r="C4658" t="s">
        <v>68</v>
      </c>
    </row>
    <row r="4659" spans="1:3" x14ac:dyDescent="0.25">
      <c r="A4659" t="str">
        <f>"620016238"</f>
        <v>620016238</v>
      </c>
      <c r="B4659" t="str">
        <f>"EHPAD LES JARDINS D'IROISE DE VENDIN"</f>
        <v>EHPAD LES JARDINS D'IROISE DE VENDIN</v>
      </c>
      <c r="C4659" t="s">
        <v>68</v>
      </c>
    </row>
    <row r="4660" spans="1:3" x14ac:dyDescent="0.25">
      <c r="A4660" t="str">
        <f>"620016279"</f>
        <v>620016279</v>
      </c>
      <c r="B4660" t="str">
        <f>"EHPAD RESIDENCE LES CHARMILLES BARLIN"</f>
        <v>EHPAD RESIDENCE LES CHARMILLES BARLIN</v>
      </c>
      <c r="C4660" t="s">
        <v>68</v>
      </c>
    </row>
    <row r="4661" spans="1:3" x14ac:dyDescent="0.25">
      <c r="A4661" t="str">
        <f>"620016378"</f>
        <v>620016378</v>
      </c>
      <c r="B4661" t="str">
        <f>"EHPAD  'LES JARDINS DU CRINCHON'"</f>
        <v>EHPAD  'LES JARDINS DU CRINCHON'</v>
      </c>
      <c r="C4661" t="s">
        <v>68</v>
      </c>
    </row>
    <row r="4662" spans="1:3" x14ac:dyDescent="0.25">
      <c r="A4662" t="str">
        <f>"620016808"</f>
        <v>620016808</v>
      </c>
      <c r="B4662" t="str">
        <f>"EHPAD  LES JARDINS DE LIEVIN"</f>
        <v>EHPAD  LES JARDINS DE LIEVIN</v>
      </c>
      <c r="C4662" t="s">
        <v>68</v>
      </c>
    </row>
    <row r="4663" spans="1:3" x14ac:dyDescent="0.25">
      <c r="A4663" t="str">
        <f>"620017699"</f>
        <v>620017699</v>
      </c>
      <c r="B4663" t="str">
        <f>"EHPAD RÉSIDENCE LE PARC DU MANOIR"</f>
        <v>EHPAD RÉSIDENCE LE PARC DU MANOIR</v>
      </c>
      <c r="C4663" t="s">
        <v>68</v>
      </c>
    </row>
    <row r="4664" spans="1:3" x14ac:dyDescent="0.25">
      <c r="A4664" t="str">
        <f>"620017749"</f>
        <v>620017749</v>
      </c>
      <c r="B4664" t="str">
        <f>"EHPAD DE FOUQUIERES- LES-LENS"</f>
        <v>EHPAD DE FOUQUIERES- LES-LENS</v>
      </c>
      <c r="C4664" t="s">
        <v>68</v>
      </c>
    </row>
    <row r="4665" spans="1:3" x14ac:dyDescent="0.25">
      <c r="A4665" t="str">
        <f>"620018044"</f>
        <v>620018044</v>
      </c>
      <c r="B4665" t="str">
        <f>"EHPAD F. DEGEORGE"</f>
        <v>EHPAD F. DEGEORGE</v>
      </c>
      <c r="C4665" t="s">
        <v>68</v>
      </c>
    </row>
    <row r="4666" spans="1:3" x14ac:dyDescent="0.25">
      <c r="A4666" t="str">
        <f>"620018135"</f>
        <v>620018135</v>
      </c>
      <c r="B4666" t="str">
        <f>"EHPAD CHATEAU DES DUNES"</f>
        <v>EHPAD CHATEAU DES DUNES</v>
      </c>
      <c r="C4666" t="s">
        <v>68</v>
      </c>
    </row>
    <row r="4667" spans="1:3" x14ac:dyDescent="0.25">
      <c r="A4667" t="str">
        <f>"620018150"</f>
        <v>620018150</v>
      </c>
      <c r="B4667" t="str">
        <f>"EHPAD 'RESIDENCE DE FRANCE'"</f>
        <v>EHPAD 'RESIDENCE DE FRANCE'</v>
      </c>
      <c r="C4667" t="s">
        <v>68</v>
      </c>
    </row>
    <row r="4668" spans="1:3" x14ac:dyDescent="0.25">
      <c r="A4668" t="str">
        <f>"620018499"</f>
        <v>620018499</v>
      </c>
      <c r="B4668" t="str">
        <f>"EHPAD TEMPS DE VIE AUDRUICQ"</f>
        <v>EHPAD TEMPS DE VIE AUDRUICQ</v>
      </c>
      <c r="C4668" t="s">
        <v>68</v>
      </c>
    </row>
    <row r="4669" spans="1:3" x14ac:dyDescent="0.25">
      <c r="A4669" t="str">
        <f>"620018614"</f>
        <v>620018614</v>
      </c>
      <c r="B4669" t="str">
        <f>"EHPAD DUFLOS"</f>
        <v>EHPAD DUFLOS</v>
      </c>
      <c r="C4669" t="s">
        <v>68</v>
      </c>
    </row>
    <row r="4670" spans="1:3" x14ac:dyDescent="0.25">
      <c r="A4670" t="str">
        <f>"620018663"</f>
        <v>620018663</v>
      </c>
      <c r="B4670" t="str">
        <f>"EHPAD RESIDENCE BELLE FONTAINE"</f>
        <v>EHPAD RESIDENCE BELLE FONTAINE</v>
      </c>
      <c r="C4670" t="s">
        <v>68</v>
      </c>
    </row>
    <row r="4671" spans="1:3" x14ac:dyDescent="0.25">
      <c r="A4671" t="str">
        <f>"620018820"</f>
        <v>620018820</v>
      </c>
      <c r="B4671" t="str">
        <f>"EHPAD 'LES MYOSOTIS'"</f>
        <v>EHPAD 'LES MYOSOTIS'</v>
      </c>
      <c r="C4671" t="s">
        <v>68</v>
      </c>
    </row>
    <row r="4672" spans="1:3" x14ac:dyDescent="0.25">
      <c r="A4672" t="str">
        <f>"620019208"</f>
        <v>620019208</v>
      </c>
      <c r="B4672" t="str">
        <f>"EHPAD RESIDENCE SAINT JEAN"</f>
        <v>EHPAD RESIDENCE SAINT JEAN</v>
      </c>
      <c r="C4672" t="s">
        <v>68</v>
      </c>
    </row>
    <row r="4673" spans="1:3" x14ac:dyDescent="0.25">
      <c r="A4673" t="str">
        <f>"620019505"</f>
        <v>620019505</v>
      </c>
      <c r="B4673" t="str">
        <f>"LA FONTAINE MEDICIS"</f>
        <v>LA FONTAINE MEDICIS</v>
      </c>
      <c r="C4673" t="s">
        <v>68</v>
      </c>
    </row>
    <row r="4674" spans="1:3" x14ac:dyDescent="0.25">
      <c r="A4674" t="str">
        <f>"620022228"</f>
        <v>620022228</v>
      </c>
      <c r="B4674" t="str">
        <f>"EHPAD DU CH DE LENS"</f>
        <v>EHPAD DU CH DE LENS</v>
      </c>
      <c r="C4674" t="s">
        <v>68</v>
      </c>
    </row>
    <row r="4675" spans="1:3" x14ac:dyDescent="0.25">
      <c r="A4675" t="str">
        <f>"620022269"</f>
        <v>620022269</v>
      </c>
      <c r="B4675" t="str">
        <f>"EHPAD DU CH DE BETHUNE"</f>
        <v>EHPAD DU CH DE BETHUNE</v>
      </c>
      <c r="C4675" t="s">
        <v>68</v>
      </c>
    </row>
    <row r="4676" spans="1:3" x14ac:dyDescent="0.25">
      <c r="A4676" t="str">
        <f>"620022749"</f>
        <v>620022749</v>
      </c>
      <c r="B4676" t="str">
        <f>"EHPAD DU BON AIR"</f>
        <v>EHPAD DU BON AIR</v>
      </c>
      <c r="C4676" t="s">
        <v>68</v>
      </c>
    </row>
    <row r="4677" spans="1:3" x14ac:dyDescent="0.25">
      <c r="A4677" t="str">
        <f>"620022798"</f>
        <v>620022798</v>
      </c>
      <c r="B4677" t="str">
        <f>"EHPAD L'ORANGE BLEUE"</f>
        <v>EHPAD L'ORANGE BLEUE</v>
      </c>
      <c r="C4677" t="s">
        <v>68</v>
      </c>
    </row>
    <row r="4678" spans="1:3" x14ac:dyDescent="0.25">
      <c r="A4678" t="str">
        <f>"620022848"</f>
        <v>620022848</v>
      </c>
      <c r="B4678" t="str">
        <f>"EHPAD PIERRE MAUROY"</f>
        <v>EHPAD PIERRE MAUROY</v>
      </c>
      <c r="C4678" t="s">
        <v>68</v>
      </c>
    </row>
    <row r="4679" spans="1:3" x14ac:dyDescent="0.25">
      <c r="A4679" t="str">
        <f>"620022939"</f>
        <v>620022939</v>
      </c>
      <c r="B4679" t="str">
        <f>"EHPAD BERNARD DEVULDER"</f>
        <v>EHPAD BERNARD DEVULDER</v>
      </c>
      <c r="C4679" t="s">
        <v>68</v>
      </c>
    </row>
    <row r="4680" spans="1:3" x14ac:dyDescent="0.25">
      <c r="A4680" t="str">
        <f>"620024448"</f>
        <v>620024448</v>
      </c>
      <c r="B4680" t="str">
        <f>"EHPAD LES LILAS"</f>
        <v>EHPAD LES LILAS</v>
      </c>
      <c r="C4680" t="s">
        <v>68</v>
      </c>
    </row>
    <row r="4681" spans="1:3" x14ac:dyDescent="0.25">
      <c r="A4681" t="str">
        <f>"620024489"</f>
        <v>620024489</v>
      </c>
      <c r="B4681" t="str">
        <f>"EHPAD LES TERRASSES DE LA MER"</f>
        <v>EHPAD LES TERRASSES DE LA MER</v>
      </c>
      <c r="C4681" t="s">
        <v>68</v>
      </c>
    </row>
    <row r="4682" spans="1:3" x14ac:dyDescent="0.25">
      <c r="A4682" t="str">
        <f>"620024661"</f>
        <v>620024661</v>
      </c>
      <c r="B4682" t="str">
        <f>"EHPAD 'LES VIOLETTES'"</f>
        <v>EHPAD 'LES VIOLETTES'</v>
      </c>
      <c r="C4682" t="s">
        <v>68</v>
      </c>
    </row>
    <row r="4683" spans="1:3" x14ac:dyDescent="0.25">
      <c r="A4683" t="str">
        <f>"620024851"</f>
        <v>620024851</v>
      </c>
      <c r="B4683" t="str">
        <f>"EHPAD LA SAINTE FAMILLE"</f>
        <v>EHPAD LA SAINTE FAMILLE</v>
      </c>
      <c r="C4683" t="s">
        <v>68</v>
      </c>
    </row>
    <row r="4684" spans="1:3" x14ac:dyDescent="0.25">
      <c r="A4684" t="str">
        <f>"620025379"</f>
        <v>620025379</v>
      </c>
      <c r="B4684" t="str">
        <f>"EHPAD MAISONNEE LA LORRAINE"</f>
        <v>EHPAD MAISONNEE LA LORRAINE</v>
      </c>
      <c r="C4684" t="s">
        <v>68</v>
      </c>
    </row>
    <row r="4685" spans="1:3" x14ac:dyDescent="0.25">
      <c r="A4685" t="str">
        <f>"620025668"</f>
        <v>620025668</v>
      </c>
      <c r="B4685" t="str">
        <f>"EHPAD MAISON DE FAMILLE L'AVE MARIA"</f>
        <v>EHPAD MAISON DE FAMILLE L'AVE MARIA</v>
      </c>
      <c r="C4685" t="s">
        <v>68</v>
      </c>
    </row>
    <row r="4686" spans="1:3" x14ac:dyDescent="0.25">
      <c r="A4686" t="str">
        <f>"620025809"</f>
        <v>620025809</v>
      </c>
      <c r="B4686" t="str">
        <f>"EHPAD LES GLYCINES"</f>
        <v>EHPAD LES GLYCINES</v>
      </c>
      <c r="C4686" t="s">
        <v>68</v>
      </c>
    </row>
    <row r="4687" spans="1:3" x14ac:dyDescent="0.25">
      <c r="A4687" t="str">
        <f>"620026104"</f>
        <v>620026104</v>
      </c>
      <c r="B4687" t="str">
        <f>"EHPAD CHÂTEAU DU BOIS"</f>
        <v>EHPAD CHÂTEAU DU BOIS</v>
      </c>
      <c r="C4687" t="s">
        <v>68</v>
      </c>
    </row>
    <row r="4688" spans="1:3" x14ac:dyDescent="0.25">
      <c r="A4688" t="str">
        <f>"620026112"</f>
        <v>620026112</v>
      </c>
      <c r="B4688" t="str">
        <f>"EHPAD RESIDENCE LE PAIN D'ALOUETTE"</f>
        <v>EHPAD RESIDENCE LE PAIN D'ALOUETTE</v>
      </c>
      <c r="C4688" t="s">
        <v>68</v>
      </c>
    </row>
    <row r="4689" spans="1:3" x14ac:dyDescent="0.25">
      <c r="A4689" t="str">
        <f>"620026120"</f>
        <v>620026120</v>
      </c>
      <c r="B4689" t="str">
        <f>"EHPAD LES ORCHIDEES"</f>
        <v>EHPAD LES ORCHIDEES</v>
      </c>
      <c r="C4689" t="s">
        <v>68</v>
      </c>
    </row>
    <row r="4690" spans="1:3" x14ac:dyDescent="0.25">
      <c r="A4690" t="str">
        <f>"620026138"</f>
        <v>620026138</v>
      </c>
      <c r="B4690" t="str">
        <f>"EHPAD FILIERIS AUCHEL LA MANAIE"</f>
        <v>EHPAD FILIERIS AUCHEL LA MANAIE</v>
      </c>
      <c r="C4690" t="s">
        <v>68</v>
      </c>
    </row>
    <row r="4691" spans="1:3" x14ac:dyDescent="0.25">
      <c r="A4691" t="str">
        <f>"620026187"</f>
        <v>620026187</v>
      </c>
      <c r="B4691" t="str">
        <f>"EHPAD RESIDENCE PIERRE BRUNET"</f>
        <v>EHPAD RESIDENCE PIERRE BRUNET</v>
      </c>
      <c r="C4691" t="s">
        <v>68</v>
      </c>
    </row>
    <row r="4692" spans="1:3" x14ac:dyDescent="0.25">
      <c r="A4692" t="str">
        <f>"620026211"</f>
        <v>620026211</v>
      </c>
      <c r="B4692" t="str">
        <f>"EHPAD RICHELIEU"</f>
        <v>EHPAD RICHELIEU</v>
      </c>
      <c r="C4692" t="s">
        <v>68</v>
      </c>
    </row>
    <row r="4693" spans="1:3" x14ac:dyDescent="0.25">
      <c r="A4693" t="str">
        <f>"620026229"</f>
        <v>620026229</v>
      </c>
      <c r="B4693" t="str">
        <f>"EHPAD LES HORTENSIAS"</f>
        <v>EHPAD LES HORTENSIAS</v>
      </c>
      <c r="C4693" t="s">
        <v>68</v>
      </c>
    </row>
    <row r="4694" spans="1:3" x14ac:dyDescent="0.25">
      <c r="A4694" t="str">
        <f>"620026237"</f>
        <v>620026237</v>
      </c>
      <c r="B4694" t="str">
        <f>"EHPAD LES OPALINES - CHAM"</f>
        <v>EHPAD LES OPALINES - CHAM</v>
      </c>
      <c r="C4694" t="s">
        <v>68</v>
      </c>
    </row>
    <row r="4695" spans="1:3" x14ac:dyDescent="0.25">
      <c r="A4695" t="str">
        <f>"620026245"</f>
        <v>620026245</v>
      </c>
      <c r="B4695" t="str">
        <f>"EHPAD LES MYOSOTIS - CHAM"</f>
        <v>EHPAD LES MYOSOTIS - CHAM</v>
      </c>
      <c r="C4695" t="s">
        <v>68</v>
      </c>
    </row>
    <row r="4696" spans="1:3" x14ac:dyDescent="0.25">
      <c r="A4696" t="str">
        <f>"620026948"</f>
        <v>620026948</v>
      </c>
      <c r="B4696" t="str">
        <f>"EHPAD CENTRE JEAN FRANCOIS SOUQUET"</f>
        <v>EHPAD CENTRE JEAN FRANCOIS SOUQUET</v>
      </c>
      <c r="C4696" t="s">
        <v>68</v>
      </c>
    </row>
    <row r="4697" spans="1:3" x14ac:dyDescent="0.25">
      <c r="A4697" t="str">
        <f>"620027037"</f>
        <v>620027037</v>
      </c>
      <c r="B4697" t="str">
        <f>"EHPAD RESIDENCE LES BATELIERS"</f>
        <v>EHPAD RESIDENCE LES BATELIERS</v>
      </c>
      <c r="C4697" t="s">
        <v>68</v>
      </c>
    </row>
    <row r="4698" spans="1:3" x14ac:dyDescent="0.25">
      <c r="A4698" t="str">
        <f>"620027060"</f>
        <v>620027060</v>
      </c>
      <c r="B4698" t="str">
        <f>"EHPAD REQUALIFIÉ DU CH DE ST-OMER"</f>
        <v>EHPAD REQUALIFIÉ DU CH DE ST-OMER</v>
      </c>
      <c r="C4698" t="s">
        <v>68</v>
      </c>
    </row>
    <row r="4699" spans="1:3" x14ac:dyDescent="0.25">
      <c r="A4699" t="str">
        <f>"620027110"</f>
        <v>620027110</v>
      </c>
      <c r="B4699" t="str">
        <f>"EHPAD STEPHANE KUBIAK"</f>
        <v>EHPAD STEPHANE KUBIAK</v>
      </c>
      <c r="C4699" t="s">
        <v>68</v>
      </c>
    </row>
    <row r="4700" spans="1:3" x14ac:dyDescent="0.25">
      <c r="A4700" t="str">
        <f>"620027128"</f>
        <v>620027128</v>
      </c>
      <c r="B4700" t="str">
        <f>"EHPAD ANDRÉ POULY"</f>
        <v>EHPAD ANDRÉ POULY</v>
      </c>
      <c r="C4700" t="s">
        <v>68</v>
      </c>
    </row>
    <row r="4701" spans="1:3" x14ac:dyDescent="0.25">
      <c r="A4701" t="str">
        <f>"620027136"</f>
        <v>620027136</v>
      </c>
      <c r="B4701" t="str">
        <f>"EHPAD L OREE DU BOIS LEFOREST"</f>
        <v>EHPAD L OREE DU BOIS LEFOREST</v>
      </c>
      <c r="C4701" t="s">
        <v>68</v>
      </c>
    </row>
    <row r="4702" spans="1:3" x14ac:dyDescent="0.25">
      <c r="A4702" t="str">
        <f>"620027573"</f>
        <v>620027573</v>
      </c>
      <c r="B4702" t="str">
        <f>"EHPAD RESIDENCE DE DAINVILLE"</f>
        <v>EHPAD RESIDENCE DE DAINVILLE</v>
      </c>
      <c r="C4702" t="s">
        <v>68</v>
      </c>
    </row>
    <row r="4703" spans="1:3" x14ac:dyDescent="0.25">
      <c r="A4703" t="str">
        <f>"620030254"</f>
        <v>620030254</v>
      </c>
      <c r="B4703" t="str">
        <f>"EHPAD TEMPS DE VIE BOULOGNE-SUR-MER"</f>
        <v>EHPAD TEMPS DE VIE BOULOGNE-SUR-MER</v>
      </c>
      <c r="C4703" t="s">
        <v>68</v>
      </c>
    </row>
    <row r="4704" spans="1:3" x14ac:dyDescent="0.25">
      <c r="A4704" t="str">
        <f>"620032888"</f>
        <v>620032888</v>
      </c>
      <c r="B4704" t="str">
        <f>"EHPAD RÉSIDENCE FORT GASSION"</f>
        <v>EHPAD RÉSIDENCE FORT GASSION</v>
      </c>
      <c r="C4704" t="s">
        <v>68</v>
      </c>
    </row>
    <row r="4705" spans="1:3" x14ac:dyDescent="0.25">
      <c r="A4705" t="str">
        <f>"620100065"</f>
        <v>620100065</v>
      </c>
      <c r="B4705" t="str">
        <f>"EHPAD DIDIER LAMPIN"</f>
        <v>EHPAD DIDIER LAMPIN</v>
      </c>
      <c r="C4705" t="s">
        <v>68</v>
      </c>
    </row>
    <row r="4706" spans="1:3" x14ac:dyDescent="0.25">
      <c r="A4706" t="str">
        <f>"620100321"</f>
        <v>620100321</v>
      </c>
      <c r="B4706" t="str">
        <f>"EHPAD  DE OISY LE VERGER"</f>
        <v>EHPAD  DE OISY LE VERGER</v>
      </c>
      <c r="C4706" t="s">
        <v>68</v>
      </c>
    </row>
    <row r="4707" spans="1:3" x14ac:dyDescent="0.25">
      <c r="A4707" t="str">
        <f>"620100867"</f>
        <v>620100867</v>
      </c>
      <c r="B4707" t="str">
        <f>"EHPAD TEMPS DE VIE AMETTES"</f>
        <v>EHPAD TEMPS DE VIE AMETTES</v>
      </c>
      <c r="C4707" t="s">
        <v>68</v>
      </c>
    </row>
    <row r="4708" spans="1:3" x14ac:dyDescent="0.25">
      <c r="A4708" t="str">
        <f>"620101378"</f>
        <v>620101378</v>
      </c>
      <c r="B4708" t="str">
        <f>"EHPAD LES EPRIAUX"</f>
        <v>EHPAD LES EPRIAUX</v>
      </c>
      <c r="C4708" t="s">
        <v>68</v>
      </c>
    </row>
    <row r="4709" spans="1:3" x14ac:dyDescent="0.25">
      <c r="A4709" t="str">
        <f>"620101857"</f>
        <v>620101857</v>
      </c>
      <c r="B4709" t="str">
        <f>"EHPAD RESIDENCE ARNOUL"</f>
        <v>EHPAD RESIDENCE ARNOUL</v>
      </c>
      <c r="C4709" t="s">
        <v>68</v>
      </c>
    </row>
    <row r="4710" spans="1:3" x14ac:dyDescent="0.25">
      <c r="A4710" t="str">
        <f>"620101865"</f>
        <v>620101865</v>
      </c>
      <c r="B4710" t="str">
        <f>"EHPAD 'LES FONTINETTES' D'ARQUES"</f>
        <v>EHPAD 'LES FONTINETTES' D'ARQUES</v>
      </c>
      <c r="C4710" t="s">
        <v>68</v>
      </c>
    </row>
    <row r="4711" spans="1:3" x14ac:dyDescent="0.25">
      <c r="A4711" t="str">
        <f>"620101873"</f>
        <v>620101873</v>
      </c>
      <c r="B4711" t="str">
        <f>"EHPAD RESID FRANCOIS-XAVIER DE SAULTY"</f>
        <v>EHPAD RESID FRANCOIS-XAVIER DE SAULTY</v>
      </c>
      <c r="C4711" t="s">
        <v>68</v>
      </c>
    </row>
    <row r="4712" spans="1:3" x14ac:dyDescent="0.25">
      <c r="A4712" t="str">
        <f>"620101881"</f>
        <v>620101881</v>
      </c>
      <c r="B4712" t="str">
        <f>"EHPAD 'LES VARENNES'"</f>
        <v>EHPAD 'LES VARENNES'</v>
      </c>
      <c r="C4712" t="s">
        <v>68</v>
      </c>
    </row>
    <row r="4713" spans="1:3" x14ac:dyDescent="0.25">
      <c r="A4713" t="str">
        <f>"620101915"</f>
        <v>620101915</v>
      </c>
      <c r="B4713" t="str">
        <f>"EHPAD RESIDENCE DE LA HAUTE PORTE"</f>
        <v>EHPAD RESIDENCE DE LA HAUTE PORTE</v>
      </c>
      <c r="C4713" t="s">
        <v>68</v>
      </c>
    </row>
    <row r="4714" spans="1:3" x14ac:dyDescent="0.25">
      <c r="A4714" t="str">
        <f>"620101923"</f>
        <v>620101923</v>
      </c>
      <c r="B4714" t="str">
        <f>"EHPAD ANTOINE DE ST ÉXUPÉRY"</f>
        <v>EHPAD ANTOINE DE ST ÉXUPÉRY</v>
      </c>
      <c r="C4714" t="s">
        <v>68</v>
      </c>
    </row>
    <row r="4715" spans="1:3" x14ac:dyDescent="0.25">
      <c r="A4715" t="str">
        <f>"620101949"</f>
        <v>620101949</v>
      </c>
      <c r="B4715" t="str">
        <f>"EHPAD DE NEDONCHEL"</f>
        <v>EHPAD DE NEDONCHEL</v>
      </c>
      <c r="C4715" t="s">
        <v>68</v>
      </c>
    </row>
    <row r="4716" spans="1:3" x14ac:dyDescent="0.25">
      <c r="A4716" t="str">
        <f>"620101956"</f>
        <v>620101956</v>
      </c>
      <c r="B4716" t="str">
        <f>"EHPAD  SAINT AUGUSTIN"</f>
        <v>EHPAD  SAINT AUGUSTIN</v>
      </c>
      <c r="C4716" t="s">
        <v>68</v>
      </c>
    </row>
    <row r="4717" spans="1:3" x14ac:dyDescent="0.25">
      <c r="A4717" t="str">
        <f>"620101964"</f>
        <v>620101964</v>
      </c>
      <c r="B4717" t="str">
        <f>"EHPAD L'ORÉE DES CHAMPS CROISILLES"</f>
        <v>EHPAD L'ORÉE DES CHAMPS CROISILLES</v>
      </c>
      <c r="C4717" t="s">
        <v>68</v>
      </c>
    </row>
    <row r="4718" spans="1:3" x14ac:dyDescent="0.25">
      <c r="A4718" t="str">
        <f>"620102061"</f>
        <v>620102061</v>
      </c>
      <c r="B4718" t="str">
        <f>"EHPAD  'ST LANDELIN'"</f>
        <v>EHPAD  'ST LANDELIN'</v>
      </c>
      <c r="C4718" t="s">
        <v>68</v>
      </c>
    </row>
    <row r="4719" spans="1:3" x14ac:dyDescent="0.25">
      <c r="A4719" t="str">
        <f>"620102269"</f>
        <v>620102269</v>
      </c>
      <c r="B4719" t="str">
        <f>"EHPAD NOTRE DAME DE BOULOGNE"</f>
        <v>EHPAD NOTRE DAME DE BOULOGNE</v>
      </c>
      <c r="C4719" t="s">
        <v>68</v>
      </c>
    </row>
    <row r="4720" spans="1:3" x14ac:dyDescent="0.25">
      <c r="A4720" t="str">
        <f>"620102277"</f>
        <v>620102277</v>
      </c>
      <c r="B4720" t="str">
        <f>"EHPAD SAINT CAMILLE"</f>
        <v>EHPAD SAINT CAMILLE</v>
      </c>
      <c r="C4720" t="s">
        <v>68</v>
      </c>
    </row>
    <row r="4721" spans="1:3" x14ac:dyDescent="0.25">
      <c r="A4721" t="str">
        <f>"620103317"</f>
        <v>620103317</v>
      </c>
      <c r="B4721" t="str">
        <f>"EHPAD LES OYATS - CHAM"</f>
        <v>EHPAD LES OYATS - CHAM</v>
      </c>
      <c r="C4721" t="s">
        <v>68</v>
      </c>
    </row>
    <row r="4722" spans="1:3" x14ac:dyDescent="0.25">
      <c r="A4722" t="str">
        <f>"620105221"</f>
        <v>620105221</v>
      </c>
      <c r="B4722" t="str">
        <f>"EHPAD SAINT ALBERT"</f>
        <v>EHPAD SAINT ALBERT</v>
      </c>
      <c r="C4722" t="s">
        <v>68</v>
      </c>
    </row>
    <row r="4723" spans="1:3" x14ac:dyDescent="0.25">
      <c r="A4723" t="str">
        <f>"620105239"</f>
        <v>620105239</v>
      </c>
      <c r="B4723" t="str">
        <f>"EHPAD ST CAMILLE"</f>
        <v>EHPAD ST CAMILLE</v>
      </c>
      <c r="C4723" t="s">
        <v>68</v>
      </c>
    </row>
    <row r="4724" spans="1:3" x14ac:dyDescent="0.25">
      <c r="A4724" t="str">
        <f>"620105247"</f>
        <v>620105247</v>
      </c>
      <c r="B4724" t="str">
        <f>"EHPAD RESIDENCE VILLA SYLVIA"</f>
        <v>EHPAD RESIDENCE VILLA SYLVIA</v>
      </c>
      <c r="C4724" t="s">
        <v>68</v>
      </c>
    </row>
    <row r="4725" spans="1:3" x14ac:dyDescent="0.25">
      <c r="A4725" t="str">
        <f>"620105254"</f>
        <v>620105254</v>
      </c>
      <c r="B4725" t="str">
        <f>"EHPAD NOTRE DAME DES CAMPAGNES"</f>
        <v>EHPAD NOTRE DAME DES CAMPAGNES</v>
      </c>
      <c r="C4725" t="s">
        <v>68</v>
      </c>
    </row>
    <row r="4726" spans="1:3" x14ac:dyDescent="0.25">
      <c r="A4726" t="str">
        <f>"620105262"</f>
        <v>620105262</v>
      </c>
      <c r="B4726" t="str">
        <f>"EHPAD ' ST ANTOINE'"</f>
        <v>EHPAD ' ST ANTOINE'</v>
      </c>
      <c r="C4726" t="s">
        <v>68</v>
      </c>
    </row>
    <row r="4727" spans="1:3" x14ac:dyDescent="0.25">
      <c r="A4727" t="str">
        <f>"620105270"</f>
        <v>620105270</v>
      </c>
      <c r="B4727" t="str">
        <f>"EHPAD TEMPS DE VIE ECQUES"</f>
        <v>EHPAD TEMPS DE VIE ECQUES</v>
      </c>
      <c r="C4727" t="s">
        <v>68</v>
      </c>
    </row>
    <row r="4728" spans="1:3" x14ac:dyDescent="0.25">
      <c r="A4728" t="str">
        <f>"620105288"</f>
        <v>620105288</v>
      </c>
      <c r="B4728" t="str">
        <f>"EPHAD TEMPS DE VIE HARDINGHEN"</f>
        <v>EPHAD TEMPS DE VIE HARDINGHEN</v>
      </c>
      <c r="C4728" t="s">
        <v>68</v>
      </c>
    </row>
    <row r="4729" spans="1:3" x14ac:dyDescent="0.25">
      <c r="A4729" t="str">
        <f>"620105296"</f>
        <v>620105296</v>
      </c>
      <c r="B4729" t="str">
        <f>"EHPAD TEMPS DE VIE LAVENTIE"</f>
        <v>EHPAD TEMPS DE VIE LAVENTIE</v>
      </c>
      <c r="C4729" t="s">
        <v>68</v>
      </c>
    </row>
    <row r="4730" spans="1:3" x14ac:dyDescent="0.25">
      <c r="A4730" t="str">
        <f>"620105304"</f>
        <v>620105304</v>
      </c>
      <c r="B4730" t="str">
        <f>"EHPAD  LES MOUETTES"</f>
        <v>EHPAD  LES MOUETTES</v>
      </c>
      <c r="C4730" t="s">
        <v>68</v>
      </c>
    </row>
    <row r="4731" spans="1:3" x14ac:dyDescent="0.25">
      <c r="A4731" t="str">
        <f>"620105312"</f>
        <v>620105312</v>
      </c>
      <c r="B4731" t="str">
        <f>"EHPAD SAINT NICOLAS"</f>
        <v>EHPAD SAINT NICOLAS</v>
      </c>
      <c r="C4731" t="s">
        <v>68</v>
      </c>
    </row>
    <row r="4732" spans="1:3" x14ac:dyDescent="0.25">
      <c r="A4732" t="str">
        <f>"620105320"</f>
        <v>620105320</v>
      </c>
      <c r="B4732" t="str">
        <f>"EHPAD ST JOSEPH DE VITRY"</f>
        <v>EHPAD ST JOSEPH DE VITRY</v>
      </c>
      <c r="C4732" t="s">
        <v>68</v>
      </c>
    </row>
    <row r="4733" spans="1:3" x14ac:dyDescent="0.25">
      <c r="A4733" t="str">
        <f>"620105916"</f>
        <v>620105916</v>
      </c>
      <c r="B4733" t="str">
        <f>"EHPAD ST FRANCOIS ARRAS"</f>
        <v>EHPAD ST FRANCOIS ARRAS</v>
      </c>
      <c r="C4733" t="s">
        <v>68</v>
      </c>
    </row>
    <row r="4734" spans="1:3" x14ac:dyDescent="0.25">
      <c r="A4734" t="str">
        <f>"620106104"</f>
        <v>620106104</v>
      </c>
      <c r="B4734" t="str">
        <f>"EHPAD DU CHATEAU DE CUINCHY"</f>
        <v>EHPAD DU CHATEAU DE CUINCHY</v>
      </c>
      <c r="C4734" t="s">
        <v>68</v>
      </c>
    </row>
    <row r="4735" spans="1:3" x14ac:dyDescent="0.25">
      <c r="A4735" t="str">
        <f>"620106112"</f>
        <v>620106112</v>
      </c>
      <c r="B4735" t="str">
        <f>"EHPAD  DU BON ACCUEIL"</f>
        <v>EHPAD  DU BON ACCUEIL</v>
      </c>
      <c r="C4735" t="s">
        <v>68</v>
      </c>
    </row>
    <row r="4736" spans="1:3" x14ac:dyDescent="0.25">
      <c r="A4736" t="str">
        <f>"620106146"</f>
        <v>620106146</v>
      </c>
      <c r="B4736" t="str">
        <f>"EHPAD GABRIELLE HIELLE"</f>
        <v>EHPAD GABRIELLE HIELLE</v>
      </c>
      <c r="C4736" t="s">
        <v>68</v>
      </c>
    </row>
    <row r="4737" spans="1:3" x14ac:dyDescent="0.25">
      <c r="A4737" t="str">
        <f>"620106161"</f>
        <v>620106161</v>
      </c>
      <c r="B4737" t="str">
        <f>"EHPAD GEORGES HONORE"</f>
        <v>EHPAD GEORGES HONORE</v>
      </c>
      <c r="C4737" t="s">
        <v>68</v>
      </c>
    </row>
    <row r="4738" spans="1:3" x14ac:dyDescent="0.25">
      <c r="A4738" t="str">
        <f>"620106930"</f>
        <v>620106930</v>
      </c>
      <c r="B4738" t="str">
        <f>"EHPAD LA  QUIÉTUDE"</f>
        <v>EHPAD LA  QUIÉTUDE</v>
      </c>
      <c r="C4738" t="s">
        <v>68</v>
      </c>
    </row>
    <row r="4739" spans="1:3" x14ac:dyDescent="0.25">
      <c r="A4739" t="str">
        <f>"620109629"</f>
        <v>620109629</v>
      </c>
      <c r="B4739" t="str">
        <f>"EHPAD  LA CATALANE"</f>
        <v>EHPAD  LA CATALANE</v>
      </c>
      <c r="C4739" t="s">
        <v>68</v>
      </c>
    </row>
    <row r="4740" spans="1:3" x14ac:dyDescent="0.25">
      <c r="A4740" t="str">
        <f>"620109876"</f>
        <v>620109876</v>
      </c>
      <c r="B4740" t="str">
        <f>"EHPAD FILIERIS BULLY- MINES J POREBSKI"</f>
        <v>EHPAD FILIERIS BULLY- MINES J POREBSKI</v>
      </c>
      <c r="C4740" t="s">
        <v>68</v>
      </c>
    </row>
    <row r="4741" spans="1:3" x14ac:dyDescent="0.25">
      <c r="A4741" t="str">
        <f>"620110270"</f>
        <v>620110270</v>
      </c>
      <c r="B4741" t="str">
        <f>"EHPAD GUYNEMER DE WIMEREUX"</f>
        <v>EHPAD GUYNEMER DE WIMEREUX</v>
      </c>
      <c r="C4741" t="s">
        <v>68</v>
      </c>
    </row>
    <row r="4742" spans="1:3" x14ac:dyDescent="0.25">
      <c r="A4742" t="str">
        <f>"620110973"</f>
        <v>620110973</v>
      </c>
      <c r="B4742" t="str">
        <f>"EHPAD  LA ROSELIÈRE DE CALAIS"</f>
        <v>EHPAD  LA ROSELIÈRE DE CALAIS</v>
      </c>
      <c r="C4742" t="s">
        <v>68</v>
      </c>
    </row>
    <row r="4743" spans="1:3" x14ac:dyDescent="0.25">
      <c r="A4743" t="str">
        <f>"620110999"</f>
        <v>620110999</v>
      </c>
      <c r="B4743" t="str">
        <f>"EHPAD RESIDENCE DE LYS"</f>
        <v>EHPAD RESIDENCE DE LYS</v>
      </c>
      <c r="C4743" t="s">
        <v>68</v>
      </c>
    </row>
    <row r="4744" spans="1:3" x14ac:dyDescent="0.25">
      <c r="A4744" t="str">
        <f>"620111013"</f>
        <v>620111013</v>
      </c>
      <c r="B4744" t="str">
        <f>"EHPAD LES ORCHIDEES"</f>
        <v>EHPAD LES ORCHIDEES</v>
      </c>
      <c r="C4744" t="s">
        <v>68</v>
      </c>
    </row>
    <row r="4745" spans="1:3" x14ac:dyDescent="0.25">
      <c r="A4745" t="str">
        <f>"620111146"</f>
        <v>620111146</v>
      </c>
      <c r="B4745" t="str">
        <f>"EHPAD MAHAUT D'ARTOIS"</f>
        <v>EHPAD MAHAUT D'ARTOIS</v>
      </c>
      <c r="C4745" t="s">
        <v>68</v>
      </c>
    </row>
    <row r="4746" spans="1:3" x14ac:dyDescent="0.25">
      <c r="A4746" t="str">
        <f>"620111153"</f>
        <v>620111153</v>
      </c>
      <c r="B4746" t="str">
        <f>"EHPAD 'L'OASIS'"</f>
        <v>EHPAD 'L'OASIS'</v>
      </c>
      <c r="C4746" t="s">
        <v>68</v>
      </c>
    </row>
    <row r="4747" spans="1:3" x14ac:dyDescent="0.25">
      <c r="A4747" t="str">
        <f>"620111161"</f>
        <v>620111161</v>
      </c>
      <c r="B4747" t="str">
        <f>"EHPAD L. LANGLET ET MAISON D'AUGUSTINE"</f>
        <v>EHPAD L. LANGLET ET MAISON D'AUGUSTINE</v>
      </c>
      <c r="C4747" t="s">
        <v>68</v>
      </c>
    </row>
    <row r="4748" spans="1:3" x14ac:dyDescent="0.25">
      <c r="A4748" t="str">
        <f>"620112425"</f>
        <v>620112425</v>
      </c>
      <c r="B4748" t="str">
        <f>"EHPAD LOUISE WEISS"</f>
        <v>EHPAD LOUISE WEISS</v>
      </c>
      <c r="C4748" t="s">
        <v>68</v>
      </c>
    </row>
    <row r="4749" spans="1:3" x14ac:dyDescent="0.25">
      <c r="A4749" t="str">
        <f>"620112557"</f>
        <v>620112557</v>
      </c>
      <c r="B4749" t="str">
        <f>"EHPAD 'LES POMMIERS'"</f>
        <v>EHPAD 'LES POMMIERS'</v>
      </c>
      <c r="C4749" t="s">
        <v>68</v>
      </c>
    </row>
    <row r="4750" spans="1:3" x14ac:dyDescent="0.25">
      <c r="A4750" t="str">
        <f>"620114728"</f>
        <v>620114728</v>
      </c>
      <c r="B4750" t="str">
        <f>"EHPAD DE  CAMIERS"</f>
        <v>EHPAD DE  CAMIERS</v>
      </c>
      <c r="C4750" t="s">
        <v>68</v>
      </c>
    </row>
    <row r="4751" spans="1:3" x14ac:dyDescent="0.25">
      <c r="A4751" t="str">
        <f>"620114868"</f>
        <v>620114868</v>
      </c>
      <c r="B4751" t="str">
        <f>"EHPAD CUVELIER"</f>
        <v>EHPAD CUVELIER</v>
      </c>
      <c r="C4751" t="s">
        <v>68</v>
      </c>
    </row>
    <row r="4752" spans="1:3" x14ac:dyDescent="0.25">
      <c r="A4752" t="str">
        <f>"620115642"</f>
        <v>620115642</v>
      </c>
      <c r="B4752" t="str">
        <f>"EHPAD 'LA DOMANIALE'"</f>
        <v>EHPAD 'LA DOMANIALE'</v>
      </c>
      <c r="C4752" t="s">
        <v>68</v>
      </c>
    </row>
    <row r="4753" spans="1:3" x14ac:dyDescent="0.25">
      <c r="A4753" t="str">
        <f>"620117226"</f>
        <v>620117226</v>
      </c>
      <c r="B4753" t="str">
        <f>"EHPAD RESIDENCE DE LA VIEILLE EGLISE"</f>
        <v>EHPAD RESIDENCE DE LA VIEILLE EGLISE</v>
      </c>
      <c r="C4753" t="s">
        <v>68</v>
      </c>
    </row>
    <row r="4754" spans="1:3" x14ac:dyDescent="0.25">
      <c r="A4754" t="str">
        <f>"620117598"</f>
        <v>620117598</v>
      </c>
      <c r="B4754" t="str">
        <f>"EHPAD LES JARDINS D'IROISE"</f>
        <v>EHPAD LES JARDINS D'IROISE</v>
      </c>
      <c r="C4754" t="s">
        <v>68</v>
      </c>
    </row>
    <row r="4755" spans="1:3" x14ac:dyDescent="0.25">
      <c r="A4755" t="str">
        <f>"620117747"</f>
        <v>620117747</v>
      </c>
      <c r="B4755" t="str">
        <f>"EHPAD DENISE DELABY"</f>
        <v>EHPAD DENISE DELABY</v>
      </c>
      <c r="C4755" t="s">
        <v>68</v>
      </c>
    </row>
    <row r="4756" spans="1:3" x14ac:dyDescent="0.25">
      <c r="A4756" t="str">
        <f>"620117754"</f>
        <v>620117754</v>
      </c>
      <c r="B4756" t="str">
        <f>"EHPAD 'LA RIVE D'OR'"</f>
        <v>EHPAD 'LA RIVE D'OR'</v>
      </c>
      <c r="C4756" t="s">
        <v>68</v>
      </c>
    </row>
    <row r="4757" spans="1:3" x14ac:dyDescent="0.25">
      <c r="A4757" t="str">
        <f>"620117762"</f>
        <v>620117762</v>
      </c>
      <c r="B4757" t="str">
        <f>"EHPAD  SAILLY-SUR-LA LYS"</f>
        <v>EHPAD  SAILLY-SUR-LA LYS</v>
      </c>
      <c r="C4757" t="s">
        <v>68</v>
      </c>
    </row>
    <row r="4758" spans="1:3" x14ac:dyDescent="0.25">
      <c r="A4758" t="str">
        <f>"620117960"</f>
        <v>620117960</v>
      </c>
      <c r="B4758" t="str">
        <f>"EHPAD 'RÉSIDENCE LES HAUTS DE FRANCE'"</f>
        <v>EHPAD 'RÉSIDENCE LES HAUTS DE FRANCE'</v>
      </c>
      <c r="C4758" t="s">
        <v>68</v>
      </c>
    </row>
    <row r="4759" spans="1:3" x14ac:dyDescent="0.25">
      <c r="A4759" t="str">
        <f>"620117978"</f>
        <v>620117978</v>
      </c>
      <c r="B4759" t="str">
        <f>"EHPAD DE ST MARTIN BOULOGNE"</f>
        <v>EHPAD DE ST MARTIN BOULOGNE</v>
      </c>
      <c r="C4759" t="s">
        <v>68</v>
      </c>
    </row>
    <row r="4760" spans="1:3" x14ac:dyDescent="0.25">
      <c r="A4760" t="str">
        <f>"620118133"</f>
        <v>620118133</v>
      </c>
      <c r="B4760" t="str">
        <f>"EHPAD 'DESIRE DELATTRE '"</f>
        <v>EHPAD 'DESIRE DELATTRE '</v>
      </c>
      <c r="C4760" t="s">
        <v>68</v>
      </c>
    </row>
    <row r="4761" spans="1:3" x14ac:dyDescent="0.25">
      <c r="A4761" t="str">
        <f>"620118208"</f>
        <v>620118208</v>
      </c>
      <c r="B4761" t="str">
        <f>"EHPAD LA BELLE EPOQUE"</f>
        <v>EHPAD LA BELLE EPOQUE</v>
      </c>
      <c r="C4761" t="s">
        <v>68</v>
      </c>
    </row>
    <row r="4762" spans="1:3" x14ac:dyDescent="0.25">
      <c r="A4762" t="str">
        <f>"620118257"</f>
        <v>620118257</v>
      </c>
      <c r="B4762" t="str">
        <f>"EHPAD 'JACQUES CARTIER'"</f>
        <v>EHPAD 'JACQUES CARTIER'</v>
      </c>
      <c r="C4762" t="s">
        <v>68</v>
      </c>
    </row>
    <row r="4763" spans="1:3" x14ac:dyDescent="0.25">
      <c r="A4763" t="str">
        <f>"620118273"</f>
        <v>620118273</v>
      </c>
      <c r="B4763" t="str">
        <f>"EHPAD 'LE CLOS DES DEUX RIVIERES'"</f>
        <v>EHPAD 'LE CLOS DES DEUX RIVIERES'</v>
      </c>
      <c r="C4763" t="s">
        <v>68</v>
      </c>
    </row>
    <row r="4764" spans="1:3" x14ac:dyDescent="0.25">
      <c r="A4764" t="str">
        <f>"620118281"</f>
        <v>620118281</v>
      </c>
      <c r="B4764" t="str">
        <f>"EHPAD RESIDENCE LES PENSEES D'AUTOMNE"</f>
        <v>EHPAD RESIDENCE LES PENSEES D'AUTOMNE</v>
      </c>
      <c r="C4764" t="s">
        <v>68</v>
      </c>
    </row>
    <row r="4765" spans="1:3" x14ac:dyDescent="0.25">
      <c r="A4765" t="str">
        <f>"620118505"</f>
        <v>620118505</v>
      </c>
      <c r="B4765" t="str">
        <f>"EHPAD  LES 5 SAISONS"</f>
        <v>EHPAD  LES 5 SAISONS</v>
      </c>
      <c r="C4765" t="s">
        <v>68</v>
      </c>
    </row>
    <row r="4766" spans="1:3" x14ac:dyDescent="0.25">
      <c r="A4766" t="str">
        <f>"620118653"</f>
        <v>620118653</v>
      </c>
      <c r="B4766" t="str">
        <f>"EHPAD LES REMPARTS"</f>
        <v>EHPAD LES REMPARTS</v>
      </c>
      <c r="C4766" t="s">
        <v>68</v>
      </c>
    </row>
    <row r="4767" spans="1:3" x14ac:dyDescent="0.25">
      <c r="A4767" t="str">
        <f>"620119206"</f>
        <v>620119206</v>
      </c>
      <c r="B4767" t="str">
        <f>"EHPAD DE BRUAY-LABUISSIERE"</f>
        <v>EHPAD DE BRUAY-LABUISSIERE</v>
      </c>
      <c r="C4767" t="s">
        <v>68</v>
      </c>
    </row>
    <row r="4768" spans="1:3" x14ac:dyDescent="0.25">
      <c r="A4768" t="str">
        <f>"620119222"</f>
        <v>620119222</v>
      </c>
      <c r="B4768" t="str">
        <f>"EHPAD 'ELSA TRIOLET'"</f>
        <v>EHPAD 'ELSA TRIOLET'</v>
      </c>
      <c r="C4768" t="s">
        <v>68</v>
      </c>
    </row>
    <row r="4769" spans="1:3" x14ac:dyDescent="0.25">
      <c r="A4769" t="str">
        <f>"620119271"</f>
        <v>620119271</v>
      </c>
      <c r="B4769" t="str">
        <f t="shared" ref="B4769:B4775" si="0">"EHPAD 'LES HELIANTINES'"</f>
        <v>EHPAD 'LES HELIANTINES'</v>
      </c>
      <c r="C4769" t="s">
        <v>68</v>
      </c>
    </row>
    <row r="4770" spans="1:3" x14ac:dyDescent="0.25">
      <c r="A4770" t="str">
        <f>"620119289"</f>
        <v>620119289</v>
      </c>
      <c r="B4770" t="str">
        <f t="shared" si="0"/>
        <v>EHPAD 'LES HELIANTINES'</v>
      </c>
      <c r="C4770" t="s">
        <v>68</v>
      </c>
    </row>
    <row r="4771" spans="1:3" x14ac:dyDescent="0.25">
      <c r="A4771" t="str">
        <f>"620119297"</f>
        <v>620119297</v>
      </c>
      <c r="B4771" t="str">
        <f t="shared" si="0"/>
        <v>EHPAD 'LES HELIANTINES'</v>
      </c>
      <c r="C4771" t="s">
        <v>68</v>
      </c>
    </row>
    <row r="4772" spans="1:3" x14ac:dyDescent="0.25">
      <c r="A4772" t="str">
        <f>"620119305"</f>
        <v>620119305</v>
      </c>
      <c r="B4772" t="str">
        <f t="shared" si="0"/>
        <v>EHPAD 'LES HELIANTINES'</v>
      </c>
      <c r="C4772" t="s">
        <v>68</v>
      </c>
    </row>
    <row r="4773" spans="1:3" x14ac:dyDescent="0.25">
      <c r="A4773" t="str">
        <f>"620119313"</f>
        <v>620119313</v>
      </c>
      <c r="B4773" t="str">
        <f t="shared" si="0"/>
        <v>EHPAD 'LES HELIANTINES'</v>
      </c>
      <c r="C4773" t="s">
        <v>68</v>
      </c>
    </row>
    <row r="4774" spans="1:3" x14ac:dyDescent="0.25">
      <c r="A4774" t="str">
        <f>"620119321"</f>
        <v>620119321</v>
      </c>
      <c r="B4774" t="str">
        <f t="shared" si="0"/>
        <v>EHPAD 'LES HELIANTINES'</v>
      </c>
      <c r="C4774" t="s">
        <v>68</v>
      </c>
    </row>
    <row r="4775" spans="1:3" x14ac:dyDescent="0.25">
      <c r="A4775" t="str">
        <f>"620119339"</f>
        <v>620119339</v>
      </c>
      <c r="B4775" t="str">
        <f t="shared" si="0"/>
        <v>EHPAD 'LES HELIANTINES'</v>
      </c>
      <c r="C4775" t="s">
        <v>68</v>
      </c>
    </row>
    <row r="4776" spans="1:3" x14ac:dyDescent="0.25">
      <c r="A4776" t="str">
        <f>"620119966"</f>
        <v>620119966</v>
      </c>
      <c r="B4776" t="str">
        <f>"EHPAD SAINT WALLOY - CHAM"</f>
        <v>EHPAD SAINT WALLOY - CHAM</v>
      </c>
      <c r="C4776" t="s">
        <v>68</v>
      </c>
    </row>
    <row r="4777" spans="1:3" x14ac:dyDescent="0.25">
      <c r="A4777" t="str">
        <f>"620119974"</f>
        <v>620119974</v>
      </c>
      <c r="B4777" t="str">
        <f>"EHPAD LES PLÉIADES - CHAM"</f>
        <v>EHPAD LES PLÉIADES - CHAM</v>
      </c>
      <c r="C4777" t="s">
        <v>68</v>
      </c>
    </row>
    <row r="4778" spans="1:3" x14ac:dyDescent="0.25">
      <c r="A4778" t="str">
        <f>"630002111"</f>
        <v>630002111</v>
      </c>
      <c r="B4778" t="str">
        <f>"EHPAD DE CEYRAT"</f>
        <v>EHPAD DE CEYRAT</v>
      </c>
      <c r="C4778" t="s">
        <v>61</v>
      </c>
    </row>
    <row r="4779" spans="1:3" x14ac:dyDescent="0.25">
      <c r="A4779" t="str">
        <f>"630002608"</f>
        <v>630002608</v>
      </c>
      <c r="B4779" t="str">
        <f>"EHPAD CHANDALON"</f>
        <v>EHPAD CHANDALON</v>
      </c>
      <c r="C4779" t="s">
        <v>61</v>
      </c>
    </row>
    <row r="4780" spans="1:3" x14ac:dyDescent="0.25">
      <c r="A4780" t="str">
        <f>"630003218"</f>
        <v>630003218</v>
      </c>
      <c r="B4780" t="str">
        <f>"EHPAD 'SAINT JOSEPH'"</f>
        <v>EHPAD 'SAINT JOSEPH'</v>
      </c>
      <c r="C4780" t="s">
        <v>61</v>
      </c>
    </row>
    <row r="4781" spans="1:3" x14ac:dyDescent="0.25">
      <c r="A4781" t="str">
        <f>"630003598"</f>
        <v>630003598</v>
      </c>
      <c r="B4781" t="str">
        <f>"EHPAD GEORGES SAND"</f>
        <v>EHPAD GEORGES SAND</v>
      </c>
      <c r="C4781" t="s">
        <v>61</v>
      </c>
    </row>
    <row r="4782" spans="1:3" x14ac:dyDescent="0.25">
      <c r="A4782" t="str">
        <f>"630004158"</f>
        <v>630004158</v>
      </c>
      <c r="B4782" t="str">
        <f>"L'EHPAD AU GRAND COEUR"</f>
        <v>L'EHPAD AU GRAND COEUR</v>
      </c>
      <c r="C4782" t="s">
        <v>61</v>
      </c>
    </row>
    <row r="4783" spans="1:3" x14ac:dyDescent="0.25">
      <c r="A4783" t="str">
        <f>"630004299"</f>
        <v>630004299</v>
      </c>
      <c r="B4783" t="str">
        <f>"EHPAD 'RESIDENCE JOLIVET'"</f>
        <v>EHPAD 'RESIDENCE JOLIVET'</v>
      </c>
      <c r="C4783" t="s">
        <v>61</v>
      </c>
    </row>
    <row r="4784" spans="1:3" x14ac:dyDescent="0.25">
      <c r="A4784" t="str">
        <f>"630007169"</f>
        <v>630007169</v>
      </c>
      <c r="B4784" t="str">
        <f>"EHPAD RESIDENCE LES OLIVIERS"</f>
        <v>EHPAD RESIDENCE LES OLIVIERS</v>
      </c>
      <c r="C4784" t="s">
        <v>61</v>
      </c>
    </row>
    <row r="4785" spans="1:3" x14ac:dyDescent="0.25">
      <c r="A4785" t="str">
        <f>"630008159"</f>
        <v>630008159</v>
      </c>
      <c r="B4785" t="str">
        <f>"EHPAD LES CHENEVIS"</f>
        <v>EHPAD LES CHENEVIS</v>
      </c>
      <c r="C4785" t="s">
        <v>61</v>
      </c>
    </row>
    <row r="4786" spans="1:3" x14ac:dyDescent="0.25">
      <c r="A4786" t="str">
        <f>"630008209"</f>
        <v>630008209</v>
      </c>
      <c r="B4786" t="str">
        <f>"EHPAD DU PAYS DE MENAT"</f>
        <v>EHPAD DU PAYS DE MENAT</v>
      </c>
      <c r="C4786" t="s">
        <v>61</v>
      </c>
    </row>
    <row r="4787" spans="1:3" x14ac:dyDescent="0.25">
      <c r="A4787" t="str">
        <f>"630008258"</f>
        <v>630008258</v>
      </c>
      <c r="B4787" t="str">
        <f>"EHPAD LES HORTENSIAS"</f>
        <v>EHPAD LES HORTENSIAS</v>
      </c>
      <c r="C4787" t="s">
        <v>61</v>
      </c>
    </row>
    <row r="4788" spans="1:3" x14ac:dyDescent="0.25">
      <c r="A4788" t="str">
        <f>"630009173"</f>
        <v>630009173</v>
      </c>
      <c r="B4788" t="str">
        <f>"EHPAD LE GONFALON"</f>
        <v>EHPAD LE GONFALON</v>
      </c>
      <c r="C4788" t="s">
        <v>61</v>
      </c>
    </row>
    <row r="4789" spans="1:3" x14ac:dyDescent="0.25">
      <c r="A4789" t="str">
        <f>"630009322"</f>
        <v>630009322</v>
      </c>
      <c r="B4789" t="str">
        <f>"EHPAD 'LE RELAIS DE POSTE'"</f>
        <v>EHPAD 'LE RELAIS DE POSTE'</v>
      </c>
      <c r="C4789" t="s">
        <v>61</v>
      </c>
    </row>
    <row r="4790" spans="1:3" x14ac:dyDescent="0.25">
      <c r="A4790" t="str">
        <f>"630009355"</f>
        <v>630009355</v>
      </c>
      <c r="B4790" t="str">
        <f>"EHPAD 'LA FONTAINE'"</f>
        <v>EHPAD 'LA FONTAINE'</v>
      </c>
      <c r="C4790" t="s">
        <v>61</v>
      </c>
    </row>
    <row r="4791" spans="1:3" x14ac:dyDescent="0.25">
      <c r="A4791" t="str">
        <f>"630009405"</f>
        <v>630009405</v>
      </c>
      <c r="B4791" t="str">
        <f>"EHPAD 'LE  MOULIN'"</f>
        <v>EHPAD 'LE  MOULIN'</v>
      </c>
      <c r="C4791" t="s">
        <v>61</v>
      </c>
    </row>
    <row r="4792" spans="1:3" x14ac:dyDescent="0.25">
      <c r="A4792" t="str">
        <f>"630009595"</f>
        <v>630009595</v>
      </c>
      <c r="B4792" t="str">
        <f>"EHPAD 'GASPARD DES MONTAGNES'"</f>
        <v>EHPAD 'GASPARD DES MONTAGNES'</v>
      </c>
      <c r="C4792" t="s">
        <v>61</v>
      </c>
    </row>
    <row r="4793" spans="1:3" x14ac:dyDescent="0.25">
      <c r="A4793" t="str">
        <f>"630009686"</f>
        <v>630009686</v>
      </c>
      <c r="B4793" t="str">
        <f>"EHPAD KORIAN L'ORADOU"</f>
        <v>EHPAD KORIAN L'ORADOU</v>
      </c>
      <c r="C4793" t="s">
        <v>61</v>
      </c>
    </row>
    <row r="4794" spans="1:3" x14ac:dyDescent="0.25">
      <c r="A4794" t="str">
        <f>"630009751"</f>
        <v>630009751</v>
      </c>
      <c r="B4794" t="str">
        <f>"EHPAD LES OPALINES"</f>
        <v>EHPAD LES OPALINES</v>
      </c>
      <c r="C4794" t="s">
        <v>61</v>
      </c>
    </row>
    <row r="4795" spans="1:3" x14ac:dyDescent="0.25">
      <c r="A4795" t="str">
        <f>"630010031"</f>
        <v>630010031</v>
      </c>
      <c r="B4795" t="str">
        <f>"RESIDENCE PAUL VALÉRY"</f>
        <v>RESIDENCE PAUL VALÉRY</v>
      </c>
      <c r="C4795" t="s">
        <v>61</v>
      </c>
    </row>
    <row r="4796" spans="1:3" x14ac:dyDescent="0.25">
      <c r="A4796" t="str">
        <f>"630010122"</f>
        <v>630010122</v>
      </c>
      <c r="B4796" t="str">
        <f>"EHPAD LES RIVES D'ARTIERE"</f>
        <v>EHPAD LES RIVES D'ARTIERE</v>
      </c>
      <c r="C4796" t="s">
        <v>61</v>
      </c>
    </row>
    <row r="4797" spans="1:3" x14ac:dyDescent="0.25">
      <c r="A4797" t="str">
        <f>"630010163"</f>
        <v>630010163</v>
      </c>
      <c r="B4797" t="str">
        <f>"EHPAD 'LES JARDINS DE LA CHARME'"</f>
        <v>EHPAD 'LES JARDINS DE LA CHARME'</v>
      </c>
      <c r="C4797" t="s">
        <v>61</v>
      </c>
    </row>
    <row r="4798" spans="1:3" x14ac:dyDescent="0.25">
      <c r="A4798" t="str">
        <f>"630010676"</f>
        <v>630010676</v>
      </c>
      <c r="B4798" t="str">
        <f>"EMERA - EHPAD MAISONNEE BOISVALLON"</f>
        <v>EMERA - EHPAD MAISONNEE BOISVALLON</v>
      </c>
      <c r="C4798" t="s">
        <v>61</v>
      </c>
    </row>
    <row r="4799" spans="1:3" x14ac:dyDescent="0.25">
      <c r="A4799" t="str">
        <f>"630010775"</f>
        <v>630010775</v>
      </c>
      <c r="B4799" t="str">
        <f>"EHPAD LES CINQ SENS"</f>
        <v>EHPAD LES CINQ SENS</v>
      </c>
      <c r="C4799" t="s">
        <v>61</v>
      </c>
    </row>
    <row r="4800" spans="1:3" x14ac:dyDescent="0.25">
      <c r="A4800" t="str">
        <f>"630010783"</f>
        <v>630010783</v>
      </c>
      <c r="B4800" t="str">
        <f>"EHPAD 'RESIDENCE LES NEUF SOLEILS'"</f>
        <v>EHPAD 'RESIDENCE LES NEUF SOLEILS'</v>
      </c>
      <c r="C4800" t="s">
        <v>61</v>
      </c>
    </row>
    <row r="4801" spans="1:3" x14ac:dyDescent="0.25">
      <c r="A4801" t="str">
        <f>"630010791"</f>
        <v>630010791</v>
      </c>
      <c r="B4801" t="str">
        <f>"EHPAD SAINTE THERESE"</f>
        <v>EHPAD SAINTE THERESE</v>
      </c>
      <c r="C4801" t="s">
        <v>61</v>
      </c>
    </row>
    <row r="4802" spans="1:3" x14ac:dyDescent="0.25">
      <c r="A4802" t="str">
        <f>"630010866"</f>
        <v>630010866</v>
      </c>
      <c r="B4802" t="str">
        <f>"EHPAD MAURICE SAVY"</f>
        <v>EHPAD MAURICE SAVY</v>
      </c>
      <c r="C4802" t="s">
        <v>61</v>
      </c>
    </row>
    <row r="4803" spans="1:3" x14ac:dyDescent="0.25">
      <c r="A4803" t="str">
        <f>"630011401"</f>
        <v>630011401</v>
      </c>
      <c r="B4803" t="str">
        <f>"EHPAD LES CAMPELLIS"</f>
        <v>EHPAD LES CAMPELLIS</v>
      </c>
      <c r="C4803" t="s">
        <v>61</v>
      </c>
    </row>
    <row r="4804" spans="1:3" x14ac:dyDescent="0.25">
      <c r="A4804" t="str">
        <f>"630011682"</f>
        <v>630011682</v>
      </c>
      <c r="B4804" t="str">
        <f>"EHPAD LOUIS PASTEUR"</f>
        <v>EHPAD LOUIS PASTEUR</v>
      </c>
      <c r="C4804" t="s">
        <v>61</v>
      </c>
    </row>
    <row r="4805" spans="1:3" x14ac:dyDescent="0.25">
      <c r="A4805" t="str">
        <f>"630011690"</f>
        <v>630011690</v>
      </c>
      <c r="B4805" t="str">
        <f>"EHPAD LA MAISON DU MARRONNIER BLANC"</f>
        <v>EHPAD LA MAISON DU MARRONNIER BLANC</v>
      </c>
      <c r="C4805" t="s">
        <v>61</v>
      </c>
    </row>
    <row r="4806" spans="1:3" x14ac:dyDescent="0.25">
      <c r="A4806" t="str">
        <f>"630011716"</f>
        <v>630011716</v>
      </c>
      <c r="B4806" t="str">
        <f>"EHPAD LES RIVES D'ITHAQUE"</f>
        <v>EHPAD LES RIVES D'ITHAQUE</v>
      </c>
      <c r="C4806" t="s">
        <v>61</v>
      </c>
    </row>
    <row r="4807" spans="1:3" x14ac:dyDescent="0.25">
      <c r="A4807" t="str">
        <f>"630011732"</f>
        <v>630011732</v>
      </c>
      <c r="B4807" t="str">
        <f>"EHPAD LE CAP VEYRE"</f>
        <v>EHPAD LE CAP VEYRE</v>
      </c>
      <c r="C4807" t="s">
        <v>61</v>
      </c>
    </row>
    <row r="4808" spans="1:3" x14ac:dyDescent="0.25">
      <c r="A4808" t="str">
        <f>"630012078"</f>
        <v>630012078</v>
      </c>
      <c r="B4808" t="str">
        <f>"EHPAD MICHEL CHARASSE"</f>
        <v>EHPAD MICHEL CHARASSE</v>
      </c>
      <c r="C4808" t="s">
        <v>61</v>
      </c>
    </row>
    <row r="4809" spans="1:3" x14ac:dyDescent="0.25">
      <c r="A4809" t="str">
        <f>"630012086"</f>
        <v>630012086</v>
      </c>
      <c r="B4809" t="str">
        <f>"EHPAD ALEXANDRE VARENNE"</f>
        <v>EHPAD ALEXANDRE VARENNE</v>
      </c>
      <c r="C4809" t="s">
        <v>61</v>
      </c>
    </row>
    <row r="4810" spans="1:3" x14ac:dyDescent="0.25">
      <c r="A4810" t="str">
        <f>"630012094"</f>
        <v>630012094</v>
      </c>
      <c r="B4810" t="str">
        <f>"EHPAD LES CHARMILLES"</f>
        <v>EHPAD LES CHARMILLES</v>
      </c>
      <c r="C4810" t="s">
        <v>61</v>
      </c>
    </row>
    <row r="4811" spans="1:3" x14ac:dyDescent="0.25">
      <c r="A4811" t="str">
        <f>"630180040"</f>
        <v>630180040</v>
      </c>
      <c r="B4811" t="str">
        <f>"EHPAD LE CASTEL BRISTOL"</f>
        <v>EHPAD LE CASTEL BRISTOL</v>
      </c>
      <c r="C4811" t="s">
        <v>61</v>
      </c>
    </row>
    <row r="4812" spans="1:3" x14ac:dyDescent="0.25">
      <c r="A4812" t="str">
        <f>"630781037"</f>
        <v>630781037</v>
      </c>
      <c r="B4812" t="str">
        <f>"EHPAD 'SERGE BAYLE'"</f>
        <v>EHPAD 'SERGE BAYLE'</v>
      </c>
      <c r="C4812" t="s">
        <v>61</v>
      </c>
    </row>
    <row r="4813" spans="1:3" x14ac:dyDescent="0.25">
      <c r="A4813" t="str">
        <f>"630781151"</f>
        <v>630781151</v>
      </c>
      <c r="B4813" t="str">
        <f>"EHPAD LES SAVAROUNES"</f>
        <v>EHPAD LES SAVAROUNES</v>
      </c>
      <c r="C4813" t="s">
        <v>61</v>
      </c>
    </row>
    <row r="4814" spans="1:3" x14ac:dyDescent="0.25">
      <c r="A4814" t="str">
        <f>"630781227"</f>
        <v>630781227</v>
      </c>
      <c r="B4814" t="str">
        <f>"EHPAD 'MON REPOS'"</f>
        <v>EHPAD 'MON REPOS'</v>
      </c>
      <c r="C4814" t="s">
        <v>61</v>
      </c>
    </row>
    <row r="4815" spans="1:3" x14ac:dyDescent="0.25">
      <c r="A4815" t="str">
        <f>"630781235"</f>
        <v>630781235</v>
      </c>
      <c r="B4815" t="str">
        <f>"EHPAD D'EFFIAT"</f>
        <v>EHPAD D'EFFIAT</v>
      </c>
      <c r="C4815" t="s">
        <v>61</v>
      </c>
    </row>
    <row r="4816" spans="1:3" x14ac:dyDescent="0.25">
      <c r="A4816" t="str">
        <f>"630781441"</f>
        <v>630781441</v>
      </c>
      <c r="B4816" t="str">
        <f>"EHPAD LA ROSERAIE"</f>
        <v>EHPAD LA ROSERAIE</v>
      </c>
      <c r="C4816" t="s">
        <v>61</v>
      </c>
    </row>
    <row r="4817" spans="1:3" x14ac:dyDescent="0.25">
      <c r="A4817" t="str">
        <f>"630781458"</f>
        <v>630781458</v>
      </c>
      <c r="B4817" t="str">
        <f>"EHPAD D'ARLANC"</f>
        <v>EHPAD D'ARLANC</v>
      </c>
      <c r="C4817" t="s">
        <v>61</v>
      </c>
    </row>
    <row r="4818" spans="1:3" x14ac:dyDescent="0.25">
      <c r="A4818" t="str">
        <f>"630781474"</f>
        <v>630781474</v>
      </c>
      <c r="B4818" t="str">
        <f>"EHPAD LES PAPILLONS D'OR"</f>
        <v>EHPAD LES PAPILLONS D'OR</v>
      </c>
      <c r="C4818" t="s">
        <v>61</v>
      </c>
    </row>
    <row r="4819" spans="1:3" x14ac:dyDescent="0.25">
      <c r="A4819" t="str">
        <f>"630781482"</f>
        <v>630781482</v>
      </c>
      <c r="B4819" t="str">
        <f>"EHPAD 'GROISNE CONSTANCE'"</f>
        <v>EHPAD 'GROISNE CONSTANCE'</v>
      </c>
      <c r="C4819" t="s">
        <v>61</v>
      </c>
    </row>
    <row r="4820" spans="1:3" x14ac:dyDescent="0.25">
      <c r="A4820" t="str">
        <f>"630781490"</f>
        <v>630781490</v>
      </c>
      <c r="B4820" t="str">
        <f>"EHPAD 'MILLE SOURIRES'"</f>
        <v>EHPAD 'MILLE SOURIRES'</v>
      </c>
      <c r="C4820" t="s">
        <v>61</v>
      </c>
    </row>
    <row r="4821" spans="1:3" x14ac:dyDescent="0.25">
      <c r="A4821" t="str">
        <f>"630781508"</f>
        <v>630781508</v>
      </c>
      <c r="B4821" t="str">
        <f>"EHPAD 'L'OMBELLE'"</f>
        <v>EHPAD 'L'OMBELLE'</v>
      </c>
      <c r="C4821" t="s">
        <v>61</v>
      </c>
    </row>
    <row r="4822" spans="1:3" x14ac:dyDescent="0.25">
      <c r="A4822" t="str">
        <f>"630781516"</f>
        <v>630781516</v>
      </c>
      <c r="B4822" t="str">
        <f>"EHPAD 'DOCTEUR JEAN-PAUL TOUCAS'"</f>
        <v>EHPAD 'DOCTEUR JEAN-PAUL TOUCAS'</v>
      </c>
      <c r="C4822" t="s">
        <v>61</v>
      </c>
    </row>
    <row r="4823" spans="1:3" x14ac:dyDescent="0.25">
      <c r="A4823" t="str">
        <f>"630781524"</f>
        <v>630781524</v>
      </c>
      <c r="B4823" t="str">
        <f>"EHPAD 'LA LOUISIANE'"</f>
        <v>EHPAD 'LA LOUISIANE'</v>
      </c>
      <c r="C4823" t="s">
        <v>61</v>
      </c>
    </row>
    <row r="4824" spans="1:3" x14ac:dyDescent="0.25">
      <c r="A4824" t="str">
        <f>"630781532"</f>
        <v>630781532</v>
      </c>
      <c r="B4824" t="str">
        <f>"EHPAD LE CEDRE"</f>
        <v>EHPAD LE CEDRE</v>
      </c>
      <c r="C4824" t="s">
        <v>61</v>
      </c>
    </row>
    <row r="4825" spans="1:3" x14ac:dyDescent="0.25">
      <c r="A4825" t="str">
        <f>"630781540"</f>
        <v>630781540</v>
      </c>
      <c r="B4825" t="str">
        <f>"EHPAD 'LES TILLEULS'"</f>
        <v>EHPAD 'LES TILLEULS'</v>
      </c>
      <c r="C4825" t="s">
        <v>61</v>
      </c>
    </row>
    <row r="4826" spans="1:3" x14ac:dyDescent="0.25">
      <c r="A4826" t="str">
        <f>"630781557"</f>
        <v>630781557</v>
      </c>
      <c r="B4826" t="str">
        <f>"EHPAD 'SAINTE ELISABETH'"</f>
        <v>EHPAD 'SAINTE ELISABETH'</v>
      </c>
      <c r="C4826" t="s">
        <v>61</v>
      </c>
    </row>
    <row r="4827" spans="1:3" x14ac:dyDescent="0.25">
      <c r="A4827" t="str">
        <f>"630781565"</f>
        <v>630781565</v>
      </c>
      <c r="B4827" t="str">
        <f>"EHPAD 'LE MONTEL'"</f>
        <v>EHPAD 'LE MONTEL'</v>
      </c>
      <c r="C4827" t="s">
        <v>61</v>
      </c>
    </row>
    <row r="4828" spans="1:3" x14ac:dyDescent="0.25">
      <c r="A4828" t="str">
        <f>"630781573"</f>
        <v>630781573</v>
      </c>
      <c r="B4828" t="str">
        <f>"EHPAD ST GERMAIN LEMBRON"</f>
        <v>EHPAD ST GERMAIN LEMBRON</v>
      </c>
      <c r="C4828" t="s">
        <v>61</v>
      </c>
    </row>
    <row r="4829" spans="1:3" x14ac:dyDescent="0.25">
      <c r="A4829" t="str">
        <f>"630781581"</f>
        <v>630781581</v>
      </c>
      <c r="B4829" t="str">
        <f>"EHPAD 'ROUX DE BERNY'"</f>
        <v>EHPAD 'ROUX DE BERNY'</v>
      </c>
      <c r="C4829" t="s">
        <v>61</v>
      </c>
    </row>
    <row r="4830" spans="1:3" x14ac:dyDescent="0.25">
      <c r="A4830" t="str">
        <f>"630781599"</f>
        <v>630781599</v>
      </c>
      <c r="B4830" t="str">
        <f>"EHPAD CHARLES ANDRAUD"</f>
        <v>EHPAD CHARLES ANDRAUD</v>
      </c>
      <c r="C4830" t="s">
        <v>61</v>
      </c>
    </row>
    <row r="4831" spans="1:3" x14ac:dyDescent="0.25">
      <c r="A4831" t="str">
        <f>"630781615"</f>
        <v>630781615</v>
      </c>
      <c r="B4831" t="str">
        <f>"EHPAD JB E BARGOIN"</f>
        <v>EHPAD JB E BARGOIN</v>
      </c>
      <c r="C4831" t="s">
        <v>61</v>
      </c>
    </row>
    <row r="4832" spans="1:3" x14ac:dyDescent="0.25">
      <c r="A4832" t="str">
        <f>"630781623"</f>
        <v>630781623</v>
      </c>
      <c r="B4832" t="str">
        <f>"EHPAD 'PIERRE HERBECQ'"</f>
        <v>EHPAD 'PIERRE HERBECQ'</v>
      </c>
      <c r="C4832" t="s">
        <v>61</v>
      </c>
    </row>
    <row r="4833" spans="1:3" x14ac:dyDescent="0.25">
      <c r="A4833" t="str">
        <f>"630781631"</f>
        <v>630781631</v>
      </c>
      <c r="B4833" t="str">
        <f>"EHPAD 'AU FIL DE L'EAU'"</f>
        <v>EHPAD 'AU FIL DE L'EAU'</v>
      </c>
      <c r="C4833" t="s">
        <v>61</v>
      </c>
    </row>
    <row r="4834" spans="1:3" x14ac:dyDescent="0.25">
      <c r="A4834" t="str">
        <f>"630781649"</f>
        <v>630781649</v>
      </c>
      <c r="B4834" t="str">
        <f>"MAISON DE RETRAITE LES ROCHES"</f>
        <v>MAISON DE RETRAITE LES ROCHES</v>
      </c>
      <c r="C4834" t="s">
        <v>61</v>
      </c>
    </row>
    <row r="4835" spans="1:3" x14ac:dyDescent="0.25">
      <c r="A4835" t="str">
        <f>"630783355"</f>
        <v>630783355</v>
      </c>
      <c r="B4835" t="str">
        <f>"EHPAD DOCTEUR REYNAUD"</f>
        <v>EHPAD DOCTEUR REYNAUD</v>
      </c>
      <c r="C4835" t="s">
        <v>61</v>
      </c>
    </row>
    <row r="4836" spans="1:3" x14ac:dyDescent="0.25">
      <c r="A4836" t="str">
        <f>"630783470"</f>
        <v>630783470</v>
      </c>
      <c r="B4836" t="str">
        <f>"EHPAD LES JARDINS"</f>
        <v>EHPAD LES JARDINS</v>
      </c>
      <c r="C4836" t="s">
        <v>61</v>
      </c>
    </row>
    <row r="4837" spans="1:3" x14ac:dyDescent="0.25">
      <c r="A4837" t="str">
        <f>"630783504"</f>
        <v>630783504</v>
      </c>
      <c r="B4837" t="str">
        <f>"EHPAD LE BELVEDERE"</f>
        <v>EHPAD LE BELVEDERE</v>
      </c>
      <c r="C4837" t="s">
        <v>61</v>
      </c>
    </row>
    <row r="4838" spans="1:3" x14ac:dyDescent="0.25">
      <c r="A4838" t="str">
        <f>"630784478"</f>
        <v>630784478</v>
      </c>
      <c r="B4838" t="str">
        <f>"EHPAD 'LA MISERICORDE'"</f>
        <v>EHPAD 'LA MISERICORDE'</v>
      </c>
      <c r="C4838" t="s">
        <v>61</v>
      </c>
    </row>
    <row r="4839" spans="1:3" x14ac:dyDescent="0.25">
      <c r="A4839" t="str">
        <f>"630784510"</f>
        <v>630784510</v>
      </c>
      <c r="B4839" t="str">
        <f>"EHPAD LA COLOMBE"</f>
        <v>EHPAD LA COLOMBE</v>
      </c>
      <c r="C4839" t="s">
        <v>61</v>
      </c>
    </row>
    <row r="4840" spans="1:3" x14ac:dyDescent="0.25">
      <c r="A4840" t="str">
        <f>"630784528"</f>
        <v>630784528</v>
      </c>
      <c r="B4840" t="str">
        <f>"EHPAD MAISON SAINT JEAN BAPTISTE"</f>
        <v>EHPAD MAISON SAINT JEAN BAPTISTE</v>
      </c>
      <c r="C4840" t="s">
        <v>61</v>
      </c>
    </row>
    <row r="4841" spans="1:3" x14ac:dyDescent="0.25">
      <c r="A4841" t="str">
        <f>"630784544"</f>
        <v>630784544</v>
      </c>
      <c r="B4841" t="str">
        <f>"EHPAD LES ORCHIS"</f>
        <v>EHPAD LES ORCHIS</v>
      </c>
      <c r="C4841" t="s">
        <v>61</v>
      </c>
    </row>
    <row r="4842" spans="1:3" x14ac:dyDescent="0.25">
      <c r="A4842" t="str">
        <f>"630784551"</f>
        <v>630784551</v>
      </c>
      <c r="B4842" t="str">
        <f>"EHPAD 'LA MISERICORDE BON ACCUEIL'"</f>
        <v>EHPAD 'LA MISERICORDE BON ACCUEIL'</v>
      </c>
      <c r="C4842" t="s">
        <v>61</v>
      </c>
    </row>
    <row r="4843" spans="1:3" x14ac:dyDescent="0.25">
      <c r="A4843" t="str">
        <f>"630784650"</f>
        <v>630784650</v>
      </c>
      <c r="B4843" t="str">
        <f>"EHPAD MICHELE AGENON"</f>
        <v>EHPAD MICHELE AGENON</v>
      </c>
      <c r="C4843" t="s">
        <v>61</v>
      </c>
    </row>
    <row r="4844" spans="1:3" x14ac:dyDescent="0.25">
      <c r="A4844" t="str">
        <f>"630784676"</f>
        <v>630784676</v>
      </c>
      <c r="B4844" t="str">
        <f>"EHPAD 'MAISON SAINT JOSEPH'"</f>
        <v>EHPAD 'MAISON SAINT JOSEPH'</v>
      </c>
      <c r="C4844" t="s">
        <v>61</v>
      </c>
    </row>
    <row r="4845" spans="1:3" x14ac:dyDescent="0.25">
      <c r="A4845" t="str">
        <f>"630784775"</f>
        <v>630784775</v>
      </c>
      <c r="B4845" t="str">
        <f>"EHPAD 'LA PROVIDENCE'"</f>
        <v>EHPAD 'LA PROVIDENCE'</v>
      </c>
      <c r="C4845" t="s">
        <v>61</v>
      </c>
    </row>
    <row r="4846" spans="1:3" x14ac:dyDescent="0.25">
      <c r="A4846" t="str">
        <f>"630784783"</f>
        <v>630784783</v>
      </c>
      <c r="B4846" t="str">
        <f>"EHPAD 'LA SAINTE FAMILLE'"</f>
        <v>EHPAD 'LA SAINTE FAMILLE'</v>
      </c>
      <c r="C4846" t="s">
        <v>61</v>
      </c>
    </row>
    <row r="4847" spans="1:3" x14ac:dyDescent="0.25">
      <c r="A4847" t="str">
        <f>"630784833"</f>
        <v>630784833</v>
      </c>
      <c r="B4847" t="str">
        <f>"EHPAD LA MAISON DES CHAMPS FLEURIS"</f>
        <v>EHPAD LA MAISON DES CHAMPS FLEURIS</v>
      </c>
      <c r="C4847" t="s">
        <v>61</v>
      </c>
    </row>
    <row r="4848" spans="1:3" x14ac:dyDescent="0.25">
      <c r="A4848" t="str">
        <f>"630784841"</f>
        <v>630784841</v>
      </c>
      <c r="B4848" t="str">
        <f>"EHPAD 'RESIDENCE JEANSON'"</f>
        <v>EHPAD 'RESIDENCE JEANSON'</v>
      </c>
      <c r="C4848" t="s">
        <v>61</v>
      </c>
    </row>
    <row r="4849" spans="1:3" x14ac:dyDescent="0.25">
      <c r="A4849" t="str">
        <f>"630784858"</f>
        <v>630784858</v>
      </c>
      <c r="B4849" t="str">
        <f>"EHPAD 'LE GRAND MEGNAUD'"</f>
        <v>EHPAD 'LE GRAND MEGNAUD'</v>
      </c>
      <c r="C4849" t="s">
        <v>61</v>
      </c>
    </row>
    <row r="4850" spans="1:3" x14ac:dyDescent="0.25">
      <c r="A4850" t="str">
        <f>"630785814"</f>
        <v>630785814</v>
      </c>
      <c r="B4850" t="str">
        <f>"EHPAD VILLA SAINT JEAN"</f>
        <v>EHPAD VILLA SAINT JEAN</v>
      </c>
      <c r="C4850" t="s">
        <v>61</v>
      </c>
    </row>
    <row r="4851" spans="1:3" x14ac:dyDescent="0.25">
      <c r="A4851" t="str">
        <f>"630785830"</f>
        <v>630785830</v>
      </c>
      <c r="B4851" t="str">
        <f>"EHPAD DE BESSE ET ST ANASTAISE"</f>
        <v>EHPAD DE BESSE ET ST ANASTAISE</v>
      </c>
      <c r="C4851" t="s">
        <v>61</v>
      </c>
    </row>
    <row r="4852" spans="1:3" x14ac:dyDescent="0.25">
      <c r="A4852" t="str">
        <f>"630785962"</f>
        <v>630785962</v>
      </c>
      <c r="B4852" t="str">
        <f>"EHPAD 'LA VILLA CLAUDINE'"</f>
        <v>EHPAD 'LA VILLA CLAUDINE'</v>
      </c>
      <c r="C4852" t="s">
        <v>61</v>
      </c>
    </row>
    <row r="4853" spans="1:3" x14ac:dyDescent="0.25">
      <c r="A4853" t="str">
        <f>"630786135"</f>
        <v>630786135</v>
      </c>
      <c r="B4853" t="str">
        <f>"EHPAD LES BRUYERES"</f>
        <v>EHPAD LES BRUYERES</v>
      </c>
      <c r="C4853" t="s">
        <v>61</v>
      </c>
    </row>
    <row r="4854" spans="1:3" x14ac:dyDescent="0.25">
      <c r="A4854" t="str">
        <f>"630787067"</f>
        <v>630787067</v>
      </c>
      <c r="B4854" t="str">
        <f>"EHPAD 'LES MELEZES'"</f>
        <v>EHPAD 'LES MELEZES'</v>
      </c>
      <c r="C4854" t="s">
        <v>61</v>
      </c>
    </row>
    <row r="4855" spans="1:3" x14ac:dyDescent="0.25">
      <c r="A4855" t="str">
        <f>"630787513"</f>
        <v>630787513</v>
      </c>
      <c r="B4855" t="str">
        <f>"EHPAD 'VIMAL-CHABRIER'"</f>
        <v>EHPAD 'VIMAL-CHABRIER'</v>
      </c>
      <c r="C4855" t="s">
        <v>61</v>
      </c>
    </row>
    <row r="4856" spans="1:3" x14ac:dyDescent="0.25">
      <c r="A4856" t="str">
        <f>"630787604"</f>
        <v>630787604</v>
      </c>
      <c r="B4856" t="str">
        <f>"EHPAD CH DE SECTEUR D'ISSOIRE"</f>
        <v>EHPAD CH DE SECTEUR D'ISSOIRE</v>
      </c>
      <c r="C4856" t="s">
        <v>61</v>
      </c>
    </row>
    <row r="4857" spans="1:3" x14ac:dyDescent="0.25">
      <c r="A4857" t="str">
        <f>"630787687"</f>
        <v>630787687</v>
      </c>
      <c r="B4857" t="str">
        <f>"EHPAD LE MONTEL"</f>
        <v>EHPAD LE MONTEL</v>
      </c>
      <c r="C4857" t="s">
        <v>61</v>
      </c>
    </row>
    <row r="4858" spans="1:3" x14ac:dyDescent="0.25">
      <c r="A4858" t="str">
        <f>"630788073"</f>
        <v>630788073</v>
      </c>
      <c r="B4858" t="str">
        <f>"EHPAD ST LOUP - CH BILLOM"</f>
        <v>EHPAD ST LOUP - CH BILLOM</v>
      </c>
      <c r="C4858" t="s">
        <v>61</v>
      </c>
    </row>
    <row r="4859" spans="1:3" x14ac:dyDescent="0.25">
      <c r="A4859" t="str">
        <f>"630788081"</f>
        <v>630788081</v>
      </c>
      <c r="B4859" t="str">
        <f>"EHPAD LES VALLONS FLEURIS"</f>
        <v>EHPAD LES VALLONS FLEURIS</v>
      </c>
      <c r="C4859" t="s">
        <v>61</v>
      </c>
    </row>
    <row r="4860" spans="1:3" x14ac:dyDescent="0.25">
      <c r="A4860" t="str">
        <f>"630788107"</f>
        <v>630788107</v>
      </c>
      <c r="B4860" t="str">
        <f>"EHPAD 'SAINT PAUL'"</f>
        <v>EHPAD 'SAINT PAUL'</v>
      </c>
      <c r="C4860" t="s">
        <v>61</v>
      </c>
    </row>
    <row r="4861" spans="1:3" x14ac:dyDescent="0.25">
      <c r="A4861" t="str">
        <f>"630788198"</f>
        <v>630788198</v>
      </c>
      <c r="B4861" t="str">
        <f>"EHPAD LES VERSANNES - UGECAM"</f>
        <v>EHPAD LES VERSANNES - UGECAM</v>
      </c>
      <c r="C4861" t="s">
        <v>61</v>
      </c>
    </row>
    <row r="4862" spans="1:3" x14ac:dyDescent="0.25">
      <c r="A4862" t="str">
        <f>"630788214"</f>
        <v>630788214</v>
      </c>
      <c r="B4862" t="str">
        <f>"EHPAD L'AMBENE"</f>
        <v>EHPAD L'AMBENE</v>
      </c>
      <c r="C4862" t="s">
        <v>61</v>
      </c>
    </row>
    <row r="4863" spans="1:3" x14ac:dyDescent="0.25">
      <c r="A4863" t="str">
        <f>"630790038"</f>
        <v>630790038</v>
      </c>
      <c r="B4863" t="str">
        <f>"EHPAD LES CHATILLES"</f>
        <v>EHPAD LES CHATILLES</v>
      </c>
      <c r="C4863" t="s">
        <v>61</v>
      </c>
    </row>
    <row r="4864" spans="1:3" x14ac:dyDescent="0.25">
      <c r="A4864" t="str">
        <f>"630790277"</f>
        <v>630790277</v>
      </c>
      <c r="B4864" t="str">
        <f>"EHPAD ANATOLE FRANCE"</f>
        <v>EHPAD ANATOLE FRANCE</v>
      </c>
      <c r="C4864" t="s">
        <v>61</v>
      </c>
    </row>
    <row r="4865" spans="1:3" x14ac:dyDescent="0.25">
      <c r="A4865" t="str">
        <f>"630790301"</f>
        <v>630790301</v>
      </c>
      <c r="B4865" t="str">
        <f>"EHPAD 'LES CANDELIES'"</f>
        <v>EHPAD 'LES CANDELIES'</v>
      </c>
      <c r="C4865" t="s">
        <v>61</v>
      </c>
    </row>
    <row r="4866" spans="1:3" x14ac:dyDescent="0.25">
      <c r="A4866" t="str">
        <f>"630790467"</f>
        <v>630790467</v>
      </c>
      <c r="B4866" t="str">
        <f>"EHPAD 'LES SOURCES'"</f>
        <v>EHPAD 'LES SOURCES'</v>
      </c>
      <c r="C4866" t="s">
        <v>61</v>
      </c>
    </row>
    <row r="4867" spans="1:3" x14ac:dyDescent="0.25">
      <c r="A4867" t="str">
        <f>"630790715"</f>
        <v>630790715</v>
      </c>
      <c r="B4867" t="str">
        <f>"EHPAD 'LES ROCHES'"</f>
        <v>EHPAD 'LES ROCHES'</v>
      </c>
      <c r="C4867" t="s">
        <v>61</v>
      </c>
    </row>
    <row r="4868" spans="1:3" x14ac:dyDescent="0.25">
      <c r="A4868" t="str">
        <f>"630790731"</f>
        <v>630790731</v>
      </c>
      <c r="B4868" t="str">
        <f>"EHPAD AMBROISE CROIZAT"</f>
        <v>EHPAD AMBROISE CROIZAT</v>
      </c>
      <c r="C4868" t="s">
        <v>61</v>
      </c>
    </row>
    <row r="4869" spans="1:3" x14ac:dyDescent="0.25">
      <c r="A4869" t="str">
        <f>"630790780"</f>
        <v>630790780</v>
      </c>
      <c r="B4869" t="str">
        <f>"RESIDENCE 'LES RIVES D'ALLIER'"</f>
        <v>RESIDENCE 'LES RIVES D'ALLIER'</v>
      </c>
      <c r="C4869" t="s">
        <v>61</v>
      </c>
    </row>
    <row r="4870" spans="1:3" x14ac:dyDescent="0.25">
      <c r="A4870" t="str">
        <f>"630790988"</f>
        <v>630790988</v>
      </c>
      <c r="B4870" t="str">
        <f>"EHPAD LES ANCIZES"</f>
        <v>EHPAD LES ANCIZES</v>
      </c>
      <c r="C4870" t="s">
        <v>61</v>
      </c>
    </row>
    <row r="4871" spans="1:3" x14ac:dyDescent="0.25">
      <c r="A4871" t="str">
        <f>"630791002"</f>
        <v>630791002</v>
      </c>
      <c r="B4871" t="str">
        <f>"EHPAD RESIDENCE GAUTIER"</f>
        <v>EHPAD RESIDENCE GAUTIER</v>
      </c>
      <c r="C4871" t="s">
        <v>61</v>
      </c>
    </row>
    <row r="4872" spans="1:3" x14ac:dyDescent="0.25">
      <c r="A4872" t="str">
        <f>"630791580"</f>
        <v>630791580</v>
      </c>
      <c r="B4872" t="str">
        <f>"EHPAD LE VERT GALANT"</f>
        <v>EHPAD LE VERT GALANT</v>
      </c>
      <c r="C4872" t="s">
        <v>61</v>
      </c>
    </row>
    <row r="4873" spans="1:3" x14ac:dyDescent="0.25">
      <c r="A4873" t="str">
        <f>"630791788"</f>
        <v>630791788</v>
      </c>
      <c r="B4873" t="str">
        <f>"EHPAD DE GIAT"</f>
        <v>EHPAD DE GIAT</v>
      </c>
      <c r="C4873" t="s">
        <v>61</v>
      </c>
    </row>
    <row r="4874" spans="1:3" x14ac:dyDescent="0.25">
      <c r="A4874" t="str">
        <f>"630791861"</f>
        <v>630791861</v>
      </c>
      <c r="B4874" t="str">
        <f>"EHPAD 'LES TONNELLES'"</f>
        <v>EHPAD 'LES TONNELLES'</v>
      </c>
      <c r="C4874" t="s">
        <v>61</v>
      </c>
    </row>
    <row r="4875" spans="1:3" x14ac:dyDescent="0.25">
      <c r="A4875" t="str">
        <f>"630791911"</f>
        <v>630791911</v>
      </c>
      <c r="B4875" t="str">
        <f>"EHPAD 'LES MESANGES BLEUES'"</f>
        <v>EHPAD 'LES MESANGES BLEUES'</v>
      </c>
      <c r="C4875" t="s">
        <v>61</v>
      </c>
    </row>
    <row r="4876" spans="1:3" x14ac:dyDescent="0.25">
      <c r="A4876" t="str">
        <f>"640005526"</f>
        <v>640005526</v>
      </c>
      <c r="B4876" t="str">
        <f>"EHPAD NOTRE MAISON"</f>
        <v>EHPAD NOTRE MAISON</v>
      </c>
      <c r="C4876" t="s">
        <v>70</v>
      </c>
    </row>
    <row r="4877" spans="1:3" x14ac:dyDescent="0.25">
      <c r="A4877" t="str">
        <f>"640006458"</f>
        <v>640006458</v>
      </c>
      <c r="B4877" t="str">
        <f>"EHPAD URTABURU"</f>
        <v>EHPAD URTABURU</v>
      </c>
      <c r="C4877" t="s">
        <v>70</v>
      </c>
    </row>
    <row r="4878" spans="1:3" x14ac:dyDescent="0.25">
      <c r="A4878" t="str">
        <f>"640007308"</f>
        <v>640007308</v>
      </c>
      <c r="B4878" t="str">
        <f>"EHPAD HERRI BURUA"</f>
        <v>EHPAD HERRI BURUA</v>
      </c>
      <c r="C4878" t="s">
        <v>70</v>
      </c>
    </row>
    <row r="4879" spans="1:3" x14ac:dyDescent="0.25">
      <c r="A4879" t="str">
        <f>"640007449"</f>
        <v>640007449</v>
      </c>
      <c r="B4879" t="str">
        <f>"EHPAD OIHANA"</f>
        <v>EHPAD OIHANA</v>
      </c>
      <c r="C4879" t="s">
        <v>70</v>
      </c>
    </row>
    <row r="4880" spans="1:3" x14ac:dyDescent="0.25">
      <c r="A4880" t="str">
        <f>"640008298"</f>
        <v>640008298</v>
      </c>
      <c r="B4880" t="str">
        <f>"EHPAD TIERS TEMPS PAU"</f>
        <v>EHPAD TIERS TEMPS PAU</v>
      </c>
      <c r="C4880" t="s">
        <v>70</v>
      </c>
    </row>
    <row r="4881" spans="1:3" x14ac:dyDescent="0.25">
      <c r="A4881" t="str">
        <f>"640008348"</f>
        <v>640008348</v>
      </c>
      <c r="B4881" t="str">
        <f>"EHPAD HARRIOLA"</f>
        <v>EHPAD HARRIOLA</v>
      </c>
      <c r="C4881" t="s">
        <v>70</v>
      </c>
    </row>
    <row r="4882" spans="1:3" x14ac:dyDescent="0.25">
      <c r="A4882" t="str">
        <f>"640008918"</f>
        <v>640008918</v>
      </c>
      <c r="B4882" t="str">
        <f>"EHPAD LE LUY DE BEARN"</f>
        <v>EHPAD LE LUY DE BEARN</v>
      </c>
      <c r="C4882" t="s">
        <v>70</v>
      </c>
    </row>
    <row r="4883" spans="1:3" x14ac:dyDescent="0.25">
      <c r="A4883" t="str">
        <f>"640009049"</f>
        <v>640009049</v>
      </c>
      <c r="B4883" t="str">
        <f>"EHPAD RESIDENCE ALBODI"</f>
        <v>EHPAD RESIDENCE ALBODI</v>
      </c>
      <c r="C4883" t="s">
        <v>70</v>
      </c>
    </row>
    <row r="4884" spans="1:3" x14ac:dyDescent="0.25">
      <c r="A4884" t="str">
        <f>"640010179"</f>
        <v>640010179</v>
      </c>
      <c r="B4884" t="str">
        <f>"EHPAD UNITE SOLEIL MALAUSSANE"</f>
        <v>EHPAD UNITE SOLEIL MALAUSSANE</v>
      </c>
      <c r="C4884" t="s">
        <v>70</v>
      </c>
    </row>
    <row r="4885" spans="1:3" x14ac:dyDescent="0.25">
      <c r="A4885" t="str">
        <f>"640010609"</f>
        <v>640010609</v>
      </c>
      <c r="B4885" t="str">
        <f>"EHPAD UNITE SOLEIL DE MAZEROLLES"</f>
        <v>EHPAD UNITE SOLEIL DE MAZEROLLES</v>
      </c>
      <c r="C4885" t="s">
        <v>70</v>
      </c>
    </row>
    <row r="4886" spans="1:3" x14ac:dyDescent="0.25">
      <c r="A4886" t="str">
        <f>"640011029"</f>
        <v>640011029</v>
      </c>
      <c r="B4886" t="str">
        <f>"EHPAD UNITE SOLEIL DE MORLANNE"</f>
        <v>EHPAD UNITE SOLEIL DE MORLANNE</v>
      </c>
      <c r="C4886" t="s">
        <v>70</v>
      </c>
    </row>
    <row r="4887" spans="1:3" x14ac:dyDescent="0.25">
      <c r="A4887" t="str">
        <f>"640012118"</f>
        <v>640012118</v>
      </c>
      <c r="B4887" t="str">
        <f>"EHPAD GOXA LEKU"</f>
        <v>EHPAD GOXA LEKU</v>
      </c>
      <c r="C4887" t="s">
        <v>70</v>
      </c>
    </row>
    <row r="4888" spans="1:3" x14ac:dyDescent="0.25">
      <c r="A4888" t="str">
        <f>"640013371"</f>
        <v>640013371</v>
      </c>
      <c r="B4888" t="str">
        <f>"EHPAD RESIDENCE LE BOSQUET"</f>
        <v>EHPAD RESIDENCE LE BOSQUET</v>
      </c>
      <c r="C4888" t="s">
        <v>70</v>
      </c>
    </row>
    <row r="4889" spans="1:3" x14ac:dyDescent="0.25">
      <c r="A4889" t="str">
        <f>"640014098"</f>
        <v>640014098</v>
      </c>
      <c r="B4889" t="str">
        <f>"EHPAD LE SEQUE"</f>
        <v>EHPAD LE SEQUE</v>
      </c>
      <c r="C4889" t="s">
        <v>70</v>
      </c>
    </row>
    <row r="4890" spans="1:3" x14ac:dyDescent="0.25">
      <c r="A4890" t="str">
        <f>"640014189"</f>
        <v>640014189</v>
      </c>
      <c r="B4890" t="str">
        <f>"EHPAD MAHARIN ANGLET"</f>
        <v>EHPAD MAHARIN ANGLET</v>
      </c>
      <c r="C4890" t="s">
        <v>70</v>
      </c>
    </row>
    <row r="4891" spans="1:3" x14ac:dyDescent="0.25">
      <c r="A4891" t="str">
        <f>"640014635"</f>
        <v>640014635</v>
      </c>
      <c r="B4891" t="str">
        <f>"EHPAD RESIDENCE LE PRE SAINT GERMAIN"</f>
        <v>EHPAD RESIDENCE LE PRE SAINT GERMAIN</v>
      </c>
      <c r="C4891" t="s">
        <v>70</v>
      </c>
    </row>
    <row r="4892" spans="1:3" x14ac:dyDescent="0.25">
      <c r="A4892" t="str">
        <f>"640014734"</f>
        <v>640014734</v>
      </c>
      <c r="B4892" t="str">
        <f>"EHPAD COMMANDANT POIRIER"</f>
        <v>EHPAD COMMANDANT POIRIER</v>
      </c>
      <c r="C4892" t="s">
        <v>70</v>
      </c>
    </row>
    <row r="4893" spans="1:3" x14ac:dyDescent="0.25">
      <c r="A4893" t="str">
        <f>"640014932"</f>
        <v>640014932</v>
      </c>
      <c r="B4893" t="str">
        <f>"EHPAD  MA MAISON"</f>
        <v>EHPAD  MA MAISON</v>
      </c>
      <c r="C4893" t="s">
        <v>70</v>
      </c>
    </row>
    <row r="4894" spans="1:3" x14ac:dyDescent="0.25">
      <c r="A4894" t="str">
        <f>"640015111"</f>
        <v>640015111</v>
      </c>
      <c r="B4894" t="str">
        <f>"EHPAD LE TEMPLE"</f>
        <v>EHPAD LE TEMPLE</v>
      </c>
      <c r="C4894" t="s">
        <v>70</v>
      </c>
    </row>
    <row r="4895" spans="1:3" x14ac:dyDescent="0.25">
      <c r="A4895" t="str">
        <f>"640015178"</f>
        <v>640015178</v>
      </c>
      <c r="B4895" t="str">
        <f>"EHPAD CLOS DES VIGNES"</f>
        <v>EHPAD CLOS DES VIGNES</v>
      </c>
      <c r="C4895" t="s">
        <v>70</v>
      </c>
    </row>
    <row r="4896" spans="1:3" x14ac:dyDescent="0.25">
      <c r="A4896" t="str">
        <f>"640015236"</f>
        <v>640015236</v>
      </c>
      <c r="B4896" t="str">
        <f>"EHPAD RESIDENCE DE L'ESQUIRETTE"</f>
        <v>EHPAD RESIDENCE DE L'ESQUIRETTE</v>
      </c>
      <c r="C4896" t="s">
        <v>70</v>
      </c>
    </row>
    <row r="4897" spans="1:3" x14ac:dyDescent="0.25">
      <c r="A4897" t="str">
        <f>"640015285"</f>
        <v>640015285</v>
      </c>
      <c r="B4897" t="str">
        <f>"EHPAD ADARPEA"</f>
        <v>EHPAD ADARPEA</v>
      </c>
      <c r="C4897" t="s">
        <v>70</v>
      </c>
    </row>
    <row r="4898" spans="1:3" x14ac:dyDescent="0.25">
      <c r="A4898" t="str">
        <f>"640015582"</f>
        <v>640015582</v>
      </c>
      <c r="B4898" t="str">
        <f>"EHPAD ARDITEYA VIEIL ASSANTZA"</f>
        <v>EHPAD ARDITEYA VIEIL ASSANTZA</v>
      </c>
      <c r="C4898" t="s">
        <v>70</v>
      </c>
    </row>
    <row r="4899" spans="1:3" x14ac:dyDescent="0.25">
      <c r="A4899" t="str">
        <f>"640016465"</f>
        <v>640016465</v>
      </c>
      <c r="B4899" t="str">
        <f>"EHPAD PUTILLENEA"</f>
        <v>EHPAD PUTILLENEA</v>
      </c>
      <c r="C4899" t="s">
        <v>70</v>
      </c>
    </row>
    <row r="4900" spans="1:3" x14ac:dyDescent="0.25">
      <c r="A4900" t="str">
        <f>"640018214"</f>
        <v>640018214</v>
      </c>
      <c r="B4900" t="str">
        <f>"EHPAD LE PRISSE - CHCB BAYONNE"</f>
        <v>EHPAD LE PRISSE - CHCB BAYONNE</v>
      </c>
      <c r="C4900" t="s">
        <v>70</v>
      </c>
    </row>
    <row r="4901" spans="1:3" x14ac:dyDescent="0.25">
      <c r="A4901" t="str">
        <f>"640018370"</f>
        <v>640018370</v>
      </c>
      <c r="B4901" t="str">
        <f>"EHPAD CLOS MONTREUIL"</f>
        <v>EHPAD CLOS MONTREUIL</v>
      </c>
      <c r="C4901" t="s">
        <v>70</v>
      </c>
    </row>
    <row r="4902" spans="1:3" x14ac:dyDescent="0.25">
      <c r="A4902" t="str">
        <f>"640019162"</f>
        <v>640019162</v>
      </c>
      <c r="B4902" t="str">
        <f>"EHPAD LEMBEYE"</f>
        <v>EHPAD LEMBEYE</v>
      </c>
      <c r="C4902" t="s">
        <v>70</v>
      </c>
    </row>
    <row r="4903" spans="1:3" x14ac:dyDescent="0.25">
      <c r="A4903" t="str">
        <f>"640019816"</f>
        <v>640019816</v>
      </c>
      <c r="B4903" t="str">
        <f>"EHPAD LES ARRIOUETS"</f>
        <v>EHPAD LES ARRIOUETS</v>
      </c>
      <c r="C4903" t="s">
        <v>70</v>
      </c>
    </row>
    <row r="4904" spans="1:3" x14ac:dyDescent="0.25">
      <c r="A4904" t="str">
        <f>"640780292"</f>
        <v>640780292</v>
      </c>
      <c r="B4904" t="str">
        <f>"EHPAD FONDATION LURO"</f>
        <v>EHPAD FONDATION LURO</v>
      </c>
      <c r="C4904" t="s">
        <v>70</v>
      </c>
    </row>
    <row r="4905" spans="1:3" x14ac:dyDescent="0.25">
      <c r="A4905" t="str">
        <f>"640780573"</f>
        <v>640780573</v>
      </c>
      <c r="B4905" t="str">
        <f>"EHPAD MUSDEHALSUENIA"</f>
        <v>EHPAD MUSDEHALSUENIA</v>
      </c>
      <c r="C4905" t="s">
        <v>70</v>
      </c>
    </row>
    <row r="4906" spans="1:3" x14ac:dyDescent="0.25">
      <c r="A4906" t="str">
        <f>"640780615"</f>
        <v>640780615</v>
      </c>
      <c r="B4906" t="str">
        <f>"EHPAD BON AIR"</f>
        <v>EHPAD BON AIR</v>
      </c>
      <c r="C4906" t="s">
        <v>70</v>
      </c>
    </row>
    <row r="4907" spans="1:3" x14ac:dyDescent="0.25">
      <c r="A4907" t="str">
        <f>"640781324"</f>
        <v>640781324</v>
      </c>
      <c r="B4907" t="str">
        <f>"EHPAD SAINT ANTOINE"</f>
        <v>EHPAD SAINT ANTOINE</v>
      </c>
      <c r="C4907" t="s">
        <v>70</v>
      </c>
    </row>
    <row r="4908" spans="1:3" x14ac:dyDescent="0.25">
      <c r="A4908" t="str">
        <f>"640781696"</f>
        <v>640781696</v>
      </c>
      <c r="B4908" t="str">
        <f>"EHPAD RESIDENCE  L'ECUREUIL"</f>
        <v>EHPAD RESIDENCE  L'ECUREUIL</v>
      </c>
      <c r="C4908" t="s">
        <v>70</v>
      </c>
    </row>
    <row r="4909" spans="1:3" x14ac:dyDescent="0.25">
      <c r="A4909" t="str">
        <f>"640781787"</f>
        <v>640781787</v>
      </c>
      <c r="B4909" t="str">
        <f>"EHPAD  LES FOYERS"</f>
        <v>EHPAD  LES FOYERS</v>
      </c>
      <c r="C4909" t="s">
        <v>70</v>
      </c>
    </row>
    <row r="4910" spans="1:3" x14ac:dyDescent="0.25">
      <c r="A4910" t="str">
        <f>"640781795"</f>
        <v>640781795</v>
      </c>
      <c r="B4910" t="str">
        <f>"EHPAD JEAN DITHURBIDE"</f>
        <v>EHPAD JEAN DITHURBIDE</v>
      </c>
      <c r="C4910" t="s">
        <v>70</v>
      </c>
    </row>
    <row r="4911" spans="1:3" x14ac:dyDescent="0.25">
      <c r="A4911" t="str">
        <f>"640781803"</f>
        <v>640781803</v>
      </c>
      <c r="B4911" t="str">
        <f>"EHPAD  OSTEYS"</f>
        <v>EHPAD  OSTEYS</v>
      </c>
      <c r="C4911" t="s">
        <v>70</v>
      </c>
    </row>
    <row r="4912" spans="1:3" x14ac:dyDescent="0.25">
      <c r="A4912" t="str">
        <f>"640781969"</f>
        <v>640781969</v>
      </c>
      <c r="B4912" t="str">
        <f>"EHPAD PORTE DU BÉARN"</f>
        <v>EHPAD PORTE DU BÉARN</v>
      </c>
      <c r="C4912" t="s">
        <v>70</v>
      </c>
    </row>
    <row r="4913" spans="1:3" x14ac:dyDescent="0.25">
      <c r="A4913" t="str">
        <f>"640781977"</f>
        <v>640781977</v>
      </c>
      <c r="B4913" t="str">
        <f>"EHPAD PUBLIC D'HASPARREN"</f>
        <v>EHPAD PUBLIC D'HASPARREN</v>
      </c>
      <c r="C4913" t="s">
        <v>70</v>
      </c>
    </row>
    <row r="4914" spans="1:3" x14ac:dyDescent="0.25">
      <c r="A4914" t="str">
        <f>"640781985"</f>
        <v>640781985</v>
      </c>
      <c r="B4914" t="str">
        <f>"EHPAD LA ROUSSANE"</f>
        <v>EHPAD LA ROUSSANE</v>
      </c>
      <c r="C4914" t="s">
        <v>70</v>
      </c>
    </row>
    <row r="4915" spans="1:3" x14ac:dyDescent="0.25">
      <c r="A4915" t="str">
        <f>"640782017"</f>
        <v>640782017</v>
      </c>
      <c r="B4915" t="str">
        <f>"EHPAD TOKI EDER"</f>
        <v>EHPAD TOKI EDER</v>
      </c>
      <c r="C4915" t="s">
        <v>70</v>
      </c>
    </row>
    <row r="4916" spans="1:3" x14ac:dyDescent="0.25">
      <c r="A4916" t="str">
        <f>"640782124"</f>
        <v>640782124</v>
      </c>
      <c r="B4916" t="str">
        <f>"EHPAD SAINTE MARIE"</f>
        <v>EHPAD SAINTE MARIE</v>
      </c>
      <c r="C4916" t="s">
        <v>70</v>
      </c>
    </row>
    <row r="4917" spans="1:3" x14ac:dyDescent="0.25">
      <c r="A4917" t="str">
        <f>"640782363"</f>
        <v>640782363</v>
      </c>
      <c r="B4917" t="str">
        <f>"EHPAD  MAISON LAVIGERIE"</f>
        <v>EHPAD  MAISON LAVIGERIE</v>
      </c>
      <c r="C4917" t="s">
        <v>70</v>
      </c>
    </row>
    <row r="4918" spans="1:3" x14ac:dyDescent="0.25">
      <c r="A4918" t="str">
        <f>"640784211"</f>
        <v>640784211</v>
      </c>
      <c r="B4918" t="str">
        <f>"EHPAD SAINTE ELISABETH"</f>
        <v>EHPAD SAINTE ELISABETH</v>
      </c>
      <c r="C4918" t="s">
        <v>70</v>
      </c>
    </row>
    <row r="4919" spans="1:3" x14ac:dyDescent="0.25">
      <c r="A4919" t="str">
        <f>"640784229"</f>
        <v>640784229</v>
      </c>
      <c r="B4919" t="str">
        <f>"EHPAD  PAUSA - LEKUA"</f>
        <v>EHPAD  PAUSA - LEKUA</v>
      </c>
      <c r="C4919" t="s">
        <v>70</v>
      </c>
    </row>
    <row r="4920" spans="1:3" x14ac:dyDescent="0.25">
      <c r="A4920" t="str">
        <f>"640784237"</f>
        <v>640784237</v>
      </c>
      <c r="B4920" t="str">
        <f>"EHPAD ADINDUNEN EGOITZA"</f>
        <v>EHPAD ADINDUNEN EGOITZA</v>
      </c>
      <c r="C4920" t="s">
        <v>70</v>
      </c>
    </row>
    <row r="4921" spans="1:3" x14ac:dyDescent="0.25">
      <c r="A4921" t="str">
        <f>"640784245"</f>
        <v>640784245</v>
      </c>
      <c r="B4921" t="str">
        <f>"EHPAD BEREBISTE"</f>
        <v>EHPAD BEREBISTE</v>
      </c>
      <c r="C4921" t="s">
        <v>70</v>
      </c>
    </row>
    <row r="4922" spans="1:3" x14ac:dyDescent="0.25">
      <c r="A4922" t="str">
        <f>"640785382"</f>
        <v>640785382</v>
      </c>
      <c r="B4922" t="str">
        <f>"EHPAD DE LA VISITATION"</f>
        <v>EHPAD DE LA VISITATION</v>
      </c>
      <c r="C4922" t="s">
        <v>70</v>
      </c>
    </row>
    <row r="4923" spans="1:3" x14ac:dyDescent="0.25">
      <c r="A4923" t="str">
        <f>"640785416"</f>
        <v>640785416</v>
      </c>
      <c r="B4923" t="str">
        <f>"EHPAD L'AGE D'OR - CH D'OLORON"</f>
        <v>EHPAD L'AGE D'OR - CH D'OLORON</v>
      </c>
      <c r="C4923" t="s">
        <v>70</v>
      </c>
    </row>
    <row r="4924" spans="1:3" x14ac:dyDescent="0.25">
      <c r="A4924" t="str">
        <f>"640785424"</f>
        <v>640785424</v>
      </c>
      <c r="B4924" t="str">
        <f>"EHPAD GOXOKI LES MAISONS DE L'ARRAYDE"</f>
        <v>EHPAD GOXOKI LES MAISONS DE L'ARRAYDE</v>
      </c>
      <c r="C4924" t="s">
        <v>70</v>
      </c>
    </row>
    <row r="4925" spans="1:3" x14ac:dyDescent="0.25">
      <c r="A4925" t="str">
        <f>"640785507"</f>
        <v>640785507</v>
      </c>
      <c r="B4925" t="str">
        <f>"EHPAD MARIAMA"</f>
        <v>EHPAD MARIAMA</v>
      </c>
      <c r="C4925" t="s">
        <v>70</v>
      </c>
    </row>
    <row r="4926" spans="1:3" x14ac:dyDescent="0.25">
      <c r="A4926" t="str">
        <f>"640785549"</f>
        <v>640785549</v>
      </c>
      <c r="B4926" t="str">
        <f>"EHPAD FONDATION POMME"</f>
        <v>EHPAD FONDATION POMME</v>
      </c>
      <c r="C4926" t="s">
        <v>70</v>
      </c>
    </row>
    <row r="4927" spans="1:3" x14ac:dyDescent="0.25">
      <c r="A4927" t="str">
        <f>"640785556"</f>
        <v>640785556</v>
      </c>
      <c r="B4927" t="str">
        <f>"EHPAD LES PYRENEES"</f>
        <v>EHPAD LES PYRENEES</v>
      </c>
      <c r="C4927" t="s">
        <v>70</v>
      </c>
    </row>
    <row r="4928" spans="1:3" x14ac:dyDescent="0.25">
      <c r="A4928" t="str">
        <f>"640785564"</f>
        <v>640785564</v>
      </c>
      <c r="B4928" t="str">
        <f>"EHPAD CAPA - CAMOU"</f>
        <v>EHPAD CAPA - CAMOU</v>
      </c>
      <c r="C4928" t="s">
        <v>70</v>
      </c>
    </row>
    <row r="4929" spans="1:3" x14ac:dyDescent="0.25">
      <c r="A4929" t="str">
        <f>"640785572"</f>
        <v>640785572</v>
      </c>
      <c r="B4929" t="str">
        <f>"EHPAD RENE GABE C.A.P.A."</f>
        <v>EHPAD RENE GABE C.A.P.A.</v>
      </c>
      <c r="C4929" t="s">
        <v>70</v>
      </c>
    </row>
    <row r="4930" spans="1:3" x14ac:dyDescent="0.25">
      <c r="A4930" t="str">
        <f>"640785580"</f>
        <v>640785580</v>
      </c>
      <c r="B4930" t="str">
        <f>"EHPAD CAPA LACLAU"</f>
        <v>EHPAD CAPA LACLAU</v>
      </c>
      <c r="C4930" t="s">
        <v>70</v>
      </c>
    </row>
    <row r="4931" spans="1:3" x14ac:dyDescent="0.25">
      <c r="A4931" t="str">
        <f>"640785606"</f>
        <v>640785606</v>
      </c>
      <c r="B4931" t="str">
        <f>"EHPAD MARIA CONSOLATA"</f>
        <v>EHPAD MARIA CONSOLATA</v>
      </c>
      <c r="C4931" t="s">
        <v>70</v>
      </c>
    </row>
    <row r="4932" spans="1:3" x14ac:dyDescent="0.25">
      <c r="A4932" t="str">
        <f>"640785614"</f>
        <v>640785614</v>
      </c>
      <c r="B4932" t="str">
        <f>"EHPAD  BEAU  RIVAGE"</f>
        <v>EHPAD  BEAU  RIVAGE</v>
      </c>
      <c r="C4932" t="s">
        <v>70</v>
      </c>
    </row>
    <row r="4933" spans="1:3" x14ac:dyDescent="0.25">
      <c r="A4933" t="str">
        <f>"640785630"</f>
        <v>640785630</v>
      </c>
      <c r="B4933" t="str">
        <f>"EHPAD RESIDENCE JEANNE D'ALBRET"</f>
        <v>EHPAD RESIDENCE JEANNE D'ALBRET</v>
      </c>
      <c r="C4933" t="s">
        <v>70</v>
      </c>
    </row>
    <row r="4934" spans="1:3" x14ac:dyDescent="0.25">
      <c r="A4934" t="str">
        <f>"640785655"</f>
        <v>640785655</v>
      </c>
      <c r="B4934" t="str">
        <f>"EHPAD LES JARDINS D'IROISE D'ARTIX"</f>
        <v>EHPAD LES JARDINS D'IROISE D'ARTIX</v>
      </c>
      <c r="C4934" t="s">
        <v>70</v>
      </c>
    </row>
    <row r="4935" spans="1:3" x14ac:dyDescent="0.25">
      <c r="A4935" t="str">
        <f>"640785663"</f>
        <v>640785663</v>
      </c>
      <c r="B4935" t="str">
        <f>"EHPAD NOUSTE SOUREILH"</f>
        <v>EHPAD NOUSTE SOUREILH</v>
      </c>
      <c r="C4935" t="s">
        <v>70</v>
      </c>
    </row>
    <row r="4936" spans="1:3" x14ac:dyDescent="0.25">
      <c r="A4936" t="str">
        <f>"640785671"</f>
        <v>640785671</v>
      </c>
      <c r="B4936" t="str">
        <f>"EHPAD RESIDENCE DES LIERRES"</f>
        <v>EHPAD RESIDENCE DES LIERRES</v>
      </c>
      <c r="C4936" t="s">
        <v>70</v>
      </c>
    </row>
    <row r="4937" spans="1:3" x14ac:dyDescent="0.25">
      <c r="A4937" t="str">
        <f>"640785713"</f>
        <v>640785713</v>
      </c>
      <c r="B4937" t="str">
        <f>"EHPAD SAINTE ELISABETH"</f>
        <v>EHPAD SAINTE ELISABETH</v>
      </c>
      <c r="C4937" t="s">
        <v>70</v>
      </c>
    </row>
    <row r="4938" spans="1:3" x14ac:dyDescent="0.25">
      <c r="A4938" t="str">
        <f>"640785739"</f>
        <v>640785739</v>
      </c>
      <c r="B4938" t="str">
        <f>"EHPAD DE BETHARRAM"</f>
        <v>EHPAD DE BETHARRAM</v>
      </c>
      <c r="C4938" t="s">
        <v>70</v>
      </c>
    </row>
    <row r="4939" spans="1:3" x14ac:dyDescent="0.25">
      <c r="A4939" t="str">
        <f>"640785770"</f>
        <v>640785770</v>
      </c>
      <c r="B4939" t="str">
        <f>"EHPAD HARAMBILLET"</f>
        <v>EHPAD HARAMBILLET</v>
      </c>
      <c r="C4939" t="s">
        <v>70</v>
      </c>
    </row>
    <row r="4940" spans="1:3" x14ac:dyDescent="0.25">
      <c r="A4940" t="str">
        <f>"640785911"</f>
        <v>640785911</v>
      </c>
      <c r="B4940" t="str">
        <f>"EHPAD SAINT JOSEPH"</f>
        <v>EHPAD SAINT JOSEPH</v>
      </c>
      <c r="C4940" t="s">
        <v>70</v>
      </c>
    </row>
    <row r="4941" spans="1:3" x14ac:dyDescent="0.25">
      <c r="A4941" t="str">
        <f>"640785929"</f>
        <v>640785929</v>
      </c>
      <c r="B4941" t="str">
        <f>"EHPAD MERICI"</f>
        <v>EHPAD MERICI</v>
      </c>
      <c r="C4941" t="s">
        <v>70</v>
      </c>
    </row>
    <row r="4942" spans="1:3" x14ac:dyDescent="0.25">
      <c r="A4942" t="str">
        <f>"640785945"</f>
        <v>640785945</v>
      </c>
      <c r="B4942" t="str">
        <f>"EHPAD JEANNE ELISABETH SAINT ANDRE"</f>
        <v>EHPAD JEANNE ELISABETH SAINT ANDRE</v>
      </c>
      <c r="C4942" t="s">
        <v>70</v>
      </c>
    </row>
    <row r="4943" spans="1:3" x14ac:dyDescent="0.25">
      <c r="A4943" t="str">
        <f>"640785986"</f>
        <v>640785986</v>
      </c>
      <c r="B4943" t="str">
        <f>"EHPAD HAIZPÉAN"</f>
        <v>EHPAD HAIZPÉAN</v>
      </c>
      <c r="C4943" t="s">
        <v>70</v>
      </c>
    </row>
    <row r="4944" spans="1:3" x14ac:dyDescent="0.25">
      <c r="A4944" t="str">
        <f>"640786026"</f>
        <v>640786026</v>
      </c>
      <c r="B4944" t="str">
        <f>"EHPAD  CLOS DE L'OUSSE"</f>
        <v>EHPAD  CLOS DE L'OUSSE</v>
      </c>
      <c r="C4944" t="s">
        <v>70</v>
      </c>
    </row>
    <row r="4945" spans="1:3" x14ac:dyDescent="0.25">
      <c r="A4945" t="str">
        <f>"640786158"</f>
        <v>640786158</v>
      </c>
      <c r="B4945" t="str">
        <f>"EHPAD LASTRILLES"</f>
        <v>EHPAD LASTRILLES</v>
      </c>
      <c r="C4945" t="s">
        <v>70</v>
      </c>
    </row>
    <row r="4946" spans="1:3" x14ac:dyDescent="0.25">
      <c r="A4946" t="str">
        <f>"640786802"</f>
        <v>640786802</v>
      </c>
      <c r="B4946" t="str">
        <f>"EHPAD TIERS TEMPS ESKUALDUNA"</f>
        <v>EHPAD TIERS TEMPS ESKUALDUNA</v>
      </c>
      <c r="C4946" t="s">
        <v>70</v>
      </c>
    </row>
    <row r="4947" spans="1:3" x14ac:dyDescent="0.25">
      <c r="A4947" t="str">
        <f>"640786836"</f>
        <v>640786836</v>
      </c>
      <c r="B4947" t="str">
        <f>"EHPAD LOU CASTEIG"</f>
        <v>EHPAD LOU CASTEIG</v>
      </c>
      <c r="C4947" t="s">
        <v>70</v>
      </c>
    </row>
    <row r="4948" spans="1:3" x14ac:dyDescent="0.25">
      <c r="A4948" t="str">
        <f>"640786844"</f>
        <v>640786844</v>
      </c>
      <c r="B4948" t="str">
        <f>"EHPAD LUTXIBERRI"</f>
        <v>EHPAD LUTXIBERRI</v>
      </c>
      <c r="C4948" t="s">
        <v>70</v>
      </c>
    </row>
    <row r="4949" spans="1:3" x14ac:dyDescent="0.25">
      <c r="A4949" t="str">
        <f>"640786984"</f>
        <v>640786984</v>
      </c>
      <c r="B4949" t="str">
        <f>"EHPAD ANDAULA - FILLES DE LA CROIX"</f>
        <v>EHPAD ANDAULA - FILLES DE LA CROIX</v>
      </c>
      <c r="C4949" t="s">
        <v>70</v>
      </c>
    </row>
    <row r="4950" spans="1:3" x14ac:dyDescent="0.25">
      <c r="A4950" t="str">
        <f>"640787107"</f>
        <v>640787107</v>
      </c>
      <c r="B4950" t="str">
        <f>"EHPAD AL CARTERO"</f>
        <v>EHPAD AL CARTERO</v>
      </c>
      <c r="C4950" t="s">
        <v>70</v>
      </c>
    </row>
    <row r="4951" spans="1:3" x14ac:dyDescent="0.25">
      <c r="A4951" t="str">
        <f>"640791919"</f>
        <v>640791919</v>
      </c>
      <c r="B4951" t="str">
        <f>"EHPAD UDAZKENA"</f>
        <v>EHPAD UDAZKENA</v>
      </c>
      <c r="C4951" t="s">
        <v>70</v>
      </c>
    </row>
    <row r="4952" spans="1:3" x14ac:dyDescent="0.25">
      <c r="A4952" t="str">
        <f>"640791943"</f>
        <v>640791943</v>
      </c>
      <c r="B4952" t="str">
        <f>"EHPAD DU CH DE MAULEON"</f>
        <v>EHPAD DU CH DE MAULEON</v>
      </c>
      <c r="C4952" t="s">
        <v>70</v>
      </c>
    </row>
    <row r="4953" spans="1:3" x14ac:dyDescent="0.25">
      <c r="A4953" t="str">
        <f>"640791950"</f>
        <v>640791950</v>
      </c>
      <c r="B4953" t="str">
        <f>"EHPAD DES ETS DE COULOMME"</f>
        <v>EHPAD DES ETS DE COULOMME</v>
      </c>
      <c r="C4953" t="s">
        <v>70</v>
      </c>
    </row>
    <row r="4954" spans="1:3" x14ac:dyDescent="0.25">
      <c r="A4954" t="str">
        <f>"640792909"</f>
        <v>640792909</v>
      </c>
      <c r="B4954" t="str">
        <f>"EHPAD RESIDENCE ARPEGE"</f>
        <v>EHPAD RESIDENCE ARPEGE</v>
      </c>
      <c r="C4954" t="s">
        <v>70</v>
      </c>
    </row>
    <row r="4955" spans="1:3" x14ac:dyDescent="0.25">
      <c r="A4955" t="str">
        <f>"640792958"</f>
        <v>640792958</v>
      </c>
      <c r="B4955" t="str">
        <f>"EHPAD L'HESPERIE"</f>
        <v>EHPAD L'HESPERIE</v>
      </c>
      <c r="C4955" t="s">
        <v>70</v>
      </c>
    </row>
    <row r="4956" spans="1:3" x14ac:dyDescent="0.25">
      <c r="A4956" t="str">
        <f>"640793204"</f>
        <v>640793204</v>
      </c>
      <c r="B4956" t="str">
        <f>"EHPAD CLUB HORIZONS"</f>
        <v>EHPAD CLUB HORIZONS</v>
      </c>
      <c r="C4956" t="s">
        <v>70</v>
      </c>
    </row>
    <row r="4957" spans="1:3" x14ac:dyDescent="0.25">
      <c r="A4957" t="str">
        <f>"640794426"</f>
        <v>640794426</v>
      </c>
      <c r="B4957" t="str">
        <f>"EHPAD RESIDENCE DU BARETOUS"</f>
        <v>EHPAD RESIDENCE DU BARETOUS</v>
      </c>
      <c r="C4957" t="s">
        <v>70</v>
      </c>
    </row>
    <row r="4958" spans="1:3" x14ac:dyDescent="0.25">
      <c r="A4958" t="str">
        <f>"640794517"</f>
        <v>640794517</v>
      </c>
      <c r="B4958" t="str">
        <f>"EHPAD LES COLCHIQUES"</f>
        <v>EHPAD LES COLCHIQUES</v>
      </c>
      <c r="C4958" t="s">
        <v>70</v>
      </c>
    </row>
    <row r="4959" spans="1:3" x14ac:dyDescent="0.25">
      <c r="A4959" t="str">
        <f>"640794558"</f>
        <v>640794558</v>
      </c>
      <c r="B4959" t="str">
        <f>"EHPAD AUTOMNE EN ASPE"</f>
        <v>EHPAD AUTOMNE EN ASPE</v>
      </c>
      <c r="C4959" t="s">
        <v>70</v>
      </c>
    </row>
    <row r="4960" spans="1:3" x14ac:dyDescent="0.25">
      <c r="A4960" t="str">
        <f>"640794822"</f>
        <v>640794822</v>
      </c>
      <c r="B4960" t="str">
        <f>"EHPAD  ARGELAS"</f>
        <v>EHPAD  ARGELAS</v>
      </c>
      <c r="C4960" t="s">
        <v>70</v>
      </c>
    </row>
    <row r="4961" spans="1:3" x14ac:dyDescent="0.25">
      <c r="A4961" t="str">
        <f>"640794871"</f>
        <v>640794871</v>
      </c>
      <c r="B4961" t="str">
        <f>"EHPAD LES JARDINS D'IROISE DE PAU"</f>
        <v>EHPAD LES JARDINS D'IROISE DE PAU</v>
      </c>
      <c r="C4961" t="s">
        <v>70</v>
      </c>
    </row>
    <row r="4962" spans="1:3" x14ac:dyDescent="0.25">
      <c r="A4962" t="str">
        <f>"640795514"</f>
        <v>640795514</v>
      </c>
      <c r="B4962" t="str">
        <f>"EHPAD RESIDENCE LES PINS"</f>
        <v>EHPAD RESIDENCE LES PINS</v>
      </c>
      <c r="C4962" t="s">
        <v>70</v>
      </c>
    </row>
    <row r="4963" spans="1:3" x14ac:dyDescent="0.25">
      <c r="A4963" t="str">
        <f>"640795753"</f>
        <v>640795753</v>
      </c>
      <c r="B4963" t="str">
        <f>"EHPAD RAMUNTCHO"</f>
        <v>EHPAD RAMUNTCHO</v>
      </c>
      <c r="C4963" t="s">
        <v>70</v>
      </c>
    </row>
    <row r="4964" spans="1:3" x14ac:dyDescent="0.25">
      <c r="A4964" t="str">
        <f>"640795761"</f>
        <v>640795761</v>
      </c>
      <c r="B4964" t="str">
        <f>"EHPAD RESIDENCE LES HORTENSIAS"</f>
        <v>EHPAD RESIDENCE LES HORTENSIAS</v>
      </c>
      <c r="C4964" t="s">
        <v>70</v>
      </c>
    </row>
    <row r="4965" spans="1:3" x14ac:dyDescent="0.25">
      <c r="A4965" t="str">
        <f>"640795811"</f>
        <v>640795811</v>
      </c>
      <c r="B4965" t="str">
        <f>"EHPAD L'AMBROISIE"</f>
        <v>EHPAD L'AMBROISIE</v>
      </c>
      <c r="C4965" t="s">
        <v>70</v>
      </c>
    </row>
    <row r="4966" spans="1:3" x14ac:dyDescent="0.25">
      <c r="A4966" t="str">
        <f>"640795829"</f>
        <v>640795829</v>
      </c>
      <c r="B4966" t="str">
        <f>"EHPAD ORPEA GAN"</f>
        <v>EHPAD ORPEA GAN</v>
      </c>
      <c r="C4966" t="s">
        <v>70</v>
      </c>
    </row>
    <row r="4967" spans="1:3" x14ac:dyDescent="0.25">
      <c r="A4967" t="str">
        <f>"640795837"</f>
        <v>640795837</v>
      </c>
      <c r="B4967" t="str">
        <f>"EHPAD LES JARDINS D'IROISE D'UZOS"</f>
        <v>EHPAD LES JARDINS D'IROISE D'UZOS</v>
      </c>
      <c r="C4967" t="s">
        <v>70</v>
      </c>
    </row>
    <row r="4968" spans="1:3" x14ac:dyDescent="0.25">
      <c r="A4968" t="str">
        <f>"640795845"</f>
        <v>640795845</v>
      </c>
      <c r="B4968" t="str">
        <f>"EHPAD ST JOSEPH"</f>
        <v>EHPAD ST JOSEPH</v>
      </c>
      <c r="C4968" t="s">
        <v>70</v>
      </c>
    </row>
    <row r="4969" spans="1:3" x14ac:dyDescent="0.25">
      <c r="A4969" t="str">
        <f>"640795860"</f>
        <v>640795860</v>
      </c>
      <c r="B4969" t="str">
        <f>"EHPAD  LE CLOS ST JEAN"</f>
        <v>EHPAD  LE CLOS ST JEAN</v>
      </c>
      <c r="C4969" t="s">
        <v>70</v>
      </c>
    </row>
    <row r="4970" spans="1:3" x14ac:dyDescent="0.25">
      <c r="A4970" t="str">
        <f>"640795878"</f>
        <v>640795878</v>
      </c>
      <c r="B4970" t="str">
        <f>"EHPAD ANTOINE DE BOURBON"</f>
        <v>EHPAD ANTOINE DE BOURBON</v>
      </c>
      <c r="C4970" t="s">
        <v>70</v>
      </c>
    </row>
    <row r="4971" spans="1:3" x14ac:dyDescent="0.25">
      <c r="A4971" t="str">
        <f>"640795894"</f>
        <v>640795894</v>
      </c>
      <c r="B4971" t="str">
        <f>"EHPAD  RESIDENCE DU PARC D'HIVER"</f>
        <v>EHPAD  RESIDENCE DU PARC D'HIVER</v>
      </c>
      <c r="C4971" t="s">
        <v>70</v>
      </c>
    </row>
    <row r="4972" spans="1:3" x14ac:dyDescent="0.25">
      <c r="A4972" t="str">
        <f>"640795928"</f>
        <v>640795928</v>
      </c>
      <c r="B4972" t="str">
        <f>"EHPAD MARIE CAUDRON FOURCADE"</f>
        <v>EHPAD MARIE CAUDRON FOURCADE</v>
      </c>
      <c r="C4972" t="s">
        <v>70</v>
      </c>
    </row>
    <row r="4973" spans="1:3" x14ac:dyDescent="0.25">
      <c r="A4973" t="str">
        <f>"640795936"</f>
        <v>640795936</v>
      </c>
      <c r="B4973" t="str">
        <f>"EHPAD LES JARDINS D'IROISE D'IDRON"</f>
        <v>EHPAD LES JARDINS D'IROISE D'IDRON</v>
      </c>
      <c r="C4973" t="s">
        <v>70</v>
      </c>
    </row>
    <row r="4974" spans="1:3" x14ac:dyDescent="0.25">
      <c r="A4974" t="str">
        <f>"640795977"</f>
        <v>640795977</v>
      </c>
      <c r="B4974" t="str">
        <f>"EHPAD EGOA"</f>
        <v>EHPAD EGOA</v>
      </c>
      <c r="C4974" t="s">
        <v>70</v>
      </c>
    </row>
    <row r="4975" spans="1:3" x14ac:dyDescent="0.25">
      <c r="A4975" t="str">
        <f>"640796009"</f>
        <v>640796009</v>
      </c>
      <c r="B4975" t="str">
        <f>"EHPAD LARRAZKENA"</f>
        <v>EHPAD LARRAZKENA</v>
      </c>
      <c r="C4975" t="s">
        <v>70</v>
      </c>
    </row>
    <row r="4976" spans="1:3" x14ac:dyDescent="0.25">
      <c r="A4976" t="str">
        <f>"640796017"</f>
        <v>640796017</v>
      </c>
      <c r="B4976" t="str">
        <f>"EHPAD ESTIBERE"</f>
        <v>EHPAD ESTIBERE</v>
      </c>
      <c r="C4976" t="s">
        <v>70</v>
      </c>
    </row>
    <row r="4977" spans="1:3" x14ac:dyDescent="0.25">
      <c r="A4977" t="str">
        <f>"640796025"</f>
        <v>640796025</v>
      </c>
      <c r="B4977" t="str">
        <f>"EHPAD L'ARRIBET"</f>
        <v>EHPAD L'ARRIBET</v>
      </c>
      <c r="C4977" t="s">
        <v>70</v>
      </c>
    </row>
    <row r="4978" spans="1:3" x14ac:dyDescent="0.25">
      <c r="A4978" t="str">
        <f>"640796033"</f>
        <v>640796033</v>
      </c>
      <c r="B4978" t="str">
        <f>"EHPAD ADINA"</f>
        <v>EHPAD ADINA</v>
      </c>
      <c r="C4978" t="s">
        <v>70</v>
      </c>
    </row>
    <row r="4979" spans="1:3" x14ac:dyDescent="0.25">
      <c r="A4979" t="str">
        <f>"640796041"</f>
        <v>640796041</v>
      </c>
      <c r="B4979" t="str">
        <f>"EHPAD ETXETOA"</f>
        <v>EHPAD ETXETOA</v>
      </c>
      <c r="C4979" t="s">
        <v>70</v>
      </c>
    </row>
    <row r="4980" spans="1:3" x14ac:dyDescent="0.25">
      <c r="A4980" t="str">
        <f>"640796058"</f>
        <v>640796058</v>
      </c>
      <c r="B4980" t="str">
        <f>"EHPAD SAINT FRAI"</f>
        <v>EHPAD SAINT FRAI</v>
      </c>
      <c r="C4980" t="s">
        <v>70</v>
      </c>
    </row>
    <row r="4981" spans="1:3" x14ac:dyDescent="0.25">
      <c r="A4981" t="str">
        <f>"640796082"</f>
        <v>640796082</v>
      </c>
      <c r="B4981" t="str">
        <f>"EHPAD ACANTHE"</f>
        <v>EHPAD ACANTHE</v>
      </c>
      <c r="C4981" t="s">
        <v>70</v>
      </c>
    </row>
    <row r="4982" spans="1:3" x14ac:dyDescent="0.25">
      <c r="A4982" t="str">
        <f>"640796199"</f>
        <v>640796199</v>
      </c>
      <c r="B4982" t="str">
        <f>"EHPAD ELIZA HEGI"</f>
        <v>EHPAD ELIZA HEGI</v>
      </c>
      <c r="C4982" t="s">
        <v>70</v>
      </c>
    </row>
    <row r="4983" spans="1:3" x14ac:dyDescent="0.25">
      <c r="A4983" t="str">
        <f>"640796223"</f>
        <v>640796223</v>
      </c>
      <c r="B4983" t="str">
        <f>"EHPAD  LE VAL FLEURI"</f>
        <v>EHPAD  LE VAL FLEURI</v>
      </c>
      <c r="C4983" t="s">
        <v>70</v>
      </c>
    </row>
    <row r="4984" spans="1:3" x14ac:dyDescent="0.25">
      <c r="A4984" t="str">
        <f>"640796298"</f>
        <v>640796298</v>
      </c>
      <c r="B4984" t="str">
        <f>"EHPAD LES PIONNIERS DE MOURENX"</f>
        <v>EHPAD LES PIONNIERS DE MOURENX</v>
      </c>
      <c r="C4984" t="s">
        <v>70</v>
      </c>
    </row>
    <row r="4985" spans="1:3" x14ac:dyDescent="0.25">
      <c r="A4985" t="str">
        <f>"640797148"</f>
        <v>640797148</v>
      </c>
      <c r="B4985" t="str">
        <f>"EHPAD A NOSTE LE GARGALE"</f>
        <v>EHPAD A NOSTE LE GARGALE</v>
      </c>
      <c r="C4985" t="s">
        <v>70</v>
      </c>
    </row>
    <row r="4986" spans="1:3" x14ac:dyDescent="0.25">
      <c r="A4986" t="str">
        <f>"650001571"</f>
        <v>650001571</v>
      </c>
      <c r="B4986" t="str">
        <f>"EHPAD LA PASTOURELLE A LOURDES"</f>
        <v>EHPAD LA PASTOURELLE A LOURDES</v>
      </c>
      <c r="C4986" t="s">
        <v>77</v>
      </c>
    </row>
    <row r="4987" spans="1:3" x14ac:dyDescent="0.25">
      <c r="A4987" t="str">
        <f>"650002389"</f>
        <v>650002389</v>
      </c>
      <c r="B4987" t="str">
        <f>"EHPAD SAINT-JOSEPH A CANTAOUS"</f>
        <v>EHPAD SAINT-JOSEPH A CANTAOUS</v>
      </c>
      <c r="C4987" t="s">
        <v>77</v>
      </c>
    </row>
    <row r="4988" spans="1:3" x14ac:dyDescent="0.25">
      <c r="A4988" t="str">
        <f>"650002488"</f>
        <v>650002488</v>
      </c>
      <c r="B4988" t="str">
        <f>"EHPAD MONASTERE DOMINICAINES A LOURDES"</f>
        <v>EHPAD MONASTERE DOMINICAINES A LOURDES</v>
      </c>
      <c r="C4988" t="s">
        <v>77</v>
      </c>
    </row>
    <row r="4989" spans="1:3" x14ac:dyDescent="0.25">
      <c r="A4989" t="str">
        <f>"650004039"</f>
        <v>650004039</v>
      </c>
      <c r="B4989" t="str">
        <f>"EHPAD VAL DE NESTE A SAINT-LAURENT"</f>
        <v>EHPAD VAL DE NESTE A SAINT-LAURENT</v>
      </c>
      <c r="C4989" t="s">
        <v>77</v>
      </c>
    </row>
    <row r="4990" spans="1:3" x14ac:dyDescent="0.25">
      <c r="A4990" t="str">
        <f>"650004427"</f>
        <v>650004427</v>
      </c>
      <c r="B4990" t="str">
        <f>"EHPAD LES FOUGERES"</f>
        <v>EHPAD LES FOUGERES</v>
      </c>
      <c r="C4990" t="s">
        <v>77</v>
      </c>
    </row>
    <row r="4991" spans="1:3" x14ac:dyDescent="0.25">
      <c r="A4991" t="str">
        <f>"650005036"</f>
        <v>650005036</v>
      </c>
      <c r="B4991" t="str">
        <f>"EHPAD 'KORIAN LE CARMEL' A TARBES"</f>
        <v>EHPAD 'KORIAN LE CARMEL' A TARBES</v>
      </c>
      <c r="C4991" t="s">
        <v>77</v>
      </c>
    </row>
    <row r="4992" spans="1:3" x14ac:dyDescent="0.25">
      <c r="A4992" t="str">
        <f>"650005192"</f>
        <v>650005192</v>
      </c>
      <c r="B4992" t="str">
        <f>"EHPAD LES BALCONS DU HAUTACAM AYZAC-O"</f>
        <v>EHPAD LES BALCONS DU HAUTACAM AYZAC-O</v>
      </c>
      <c r="C4992" t="s">
        <v>77</v>
      </c>
    </row>
    <row r="4993" spans="1:3" x14ac:dyDescent="0.25">
      <c r="A4993" t="str">
        <f>"650005200"</f>
        <v>650005200</v>
      </c>
      <c r="B4993" t="str">
        <f>"EHPAD LES BALCONS DU HAUTACAM  CANARIE"</f>
        <v>EHPAD LES BALCONS DU HAUTACAM  CANARIE</v>
      </c>
      <c r="C4993" t="s">
        <v>77</v>
      </c>
    </row>
    <row r="4994" spans="1:3" x14ac:dyDescent="0.25">
      <c r="A4994" t="str">
        <f>"650005804"</f>
        <v>650005804</v>
      </c>
      <c r="B4994" t="str">
        <f>"EHPAD COURTAOU DE BIGORRE"</f>
        <v>EHPAD COURTAOU DE BIGORRE</v>
      </c>
      <c r="C4994" t="s">
        <v>77</v>
      </c>
    </row>
    <row r="4995" spans="1:3" x14ac:dyDescent="0.25">
      <c r="A4995" t="str">
        <f>"650006802"</f>
        <v>650006802</v>
      </c>
      <c r="B4995" t="str">
        <f>"EHPAD LA BAÏSE AJ 'LES 4 VALLEES'"</f>
        <v>EHPAD LA BAÏSE AJ 'LES 4 VALLEES'</v>
      </c>
      <c r="C4995" t="s">
        <v>77</v>
      </c>
    </row>
    <row r="4996" spans="1:3" x14ac:dyDescent="0.25">
      <c r="A4996" t="str">
        <f>"650780778"</f>
        <v>650780778</v>
      </c>
      <c r="B4996" t="str">
        <f>"EHPAD RESIDENCES DU VAL D'ADOUR"</f>
        <v>EHPAD RESIDENCES DU VAL D'ADOUR</v>
      </c>
      <c r="C4996" t="s">
        <v>77</v>
      </c>
    </row>
    <row r="4997" spans="1:3" x14ac:dyDescent="0.25">
      <c r="A4997" t="str">
        <f>"650780877"</f>
        <v>650780877</v>
      </c>
      <c r="B4997" t="str">
        <f>"EHPAD LES BALCONS DU HAUTACAM  VIEUZAC"</f>
        <v>EHPAD LES BALCONS DU HAUTACAM  VIEUZAC</v>
      </c>
      <c r="C4997" t="s">
        <v>77</v>
      </c>
    </row>
    <row r="4998" spans="1:3" x14ac:dyDescent="0.25">
      <c r="A4998" t="str">
        <f>"650781057"</f>
        <v>650781057</v>
      </c>
      <c r="B4998" t="str">
        <f>"EHPAD RESIDENCE L'EMERAUDE"</f>
        <v>EHPAD RESIDENCE L'EMERAUDE</v>
      </c>
      <c r="C4998" t="s">
        <v>77</v>
      </c>
    </row>
    <row r="4999" spans="1:3" x14ac:dyDescent="0.25">
      <c r="A4999" t="str">
        <f>"650782105"</f>
        <v>650782105</v>
      </c>
      <c r="B4999" t="str">
        <f>"EHPAD LOU PAÏS"</f>
        <v>EHPAD LOU PAÏS</v>
      </c>
      <c r="C4999" t="s">
        <v>77</v>
      </c>
    </row>
    <row r="5000" spans="1:3" x14ac:dyDescent="0.25">
      <c r="A5000" t="str">
        <f>"650783749"</f>
        <v>650783749</v>
      </c>
      <c r="B5000" t="str">
        <f>"EHPAD LES LOGIS D'AURE A GUCHEN"</f>
        <v>EHPAD LES LOGIS D'AURE A GUCHEN</v>
      </c>
      <c r="C5000" t="s">
        <v>77</v>
      </c>
    </row>
    <row r="5001" spans="1:3" x14ac:dyDescent="0.25">
      <c r="A5001" t="str">
        <f>"650783756"</f>
        <v>650783756</v>
      </c>
      <c r="B5001" t="str">
        <f>"EHPAD SAINT-JOSEPH A CASTELNAU MAGNOAC"</f>
        <v>EHPAD SAINT-JOSEPH A CASTELNAU MAGNOAC</v>
      </c>
      <c r="C5001" t="s">
        <v>77</v>
      </c>
    </row>
    <row r="5002" spans="1:3" x14ac:dyDescent="0.25">
      <c r="A5002" t="str">
        <f>"650783772"</f>
        <v>650783772</v>
      </c>
      <c r="B5002" t="str">
        <f>"EHPAD LAS ARRIBAS TIBIRAN-JAUNAC"</f>
        <v>EHPAD LAS ARRIBAS TIBIRAN-JAUNAC</v>
      </c>
      <c r="C5002" t="s">
        <v>77</v>
      </c>
    </row>
    <row r="5003" spans="1:3" x14ac:dyDescent="0.25">
      <c r="A5003" t="str">
        <f>"650783780"</f>
        <v>650783780</v>
      </c>
      <c r="B5003" t="str">
        <f>"EHPAD LES RIVES DU PELAM TRIE-SUR-B"</f>
        <v>EHPAD LES RIVES DU PELAM TRIE-SUR-B</v>
      </c>
      <c r="C5003" t="s">
        <v>77</v>
      </c>
    </row>
    <row r="5004" spans="1:3" x14ac:dyDescent="0.25">
      <c r="A5004" t="str">
        <f>"650783798"</f>
        <v>650783798</v>
      </c>
      <c r="B5004" t="str">
        <f>"EHPAD SAINT-JOSEPH A OSSUN"</f>
        <v>EHPAD SAINT-JOSEPH A OSSUN</v>
      </c>
      <c r="C5004" t="s">
        <v>77</v>
      </c>
    </row>
    <row r="5005" spans="1:3" x14ac:dyDescent="0.25">
      <c r="A5005" t="str">
        <f>"650783806"</f>
        <v>650783806</v>
      </c>
      <c r="B5005" t="str">
        <f>"EHPAD ACCUEIL FRERE JEAN A GALAN"</f>
        <v>EHPAD ACCUEIL FRERE JEAN A GALAN</v>
      </c>
      <c r="C5005" t="s">
        <v>77</v>
      </c>
    </row>
    <row r="5006" spans="1:3" x14ac:dyDescent="0.25">
      <c r="A5006" t="str">
        <f>"650783822"</f>
        <v>650783822</v>
      </c>
      <c r="B5006" t="str">
        <f>"EHPAD SAINT-FRAI A BAGNERES-DE-BIGORRE"</f>
        <v>EHPAD SAINT-FRAI A BAGNERES-DE-BIGORRE</v>
      </c>
      <c r="C5006" t="s">
        <v>77</v>
      </c>
    </row>
    <row r="5007" spans="1:3" x14ac:dyDescent="0.25">
      <c r="A5007" t="str">
        <f>"650783830"</f>
        <v>650783830</v>
      </c>
      <c r="B5007" t="str">
        <f>"EHPAD 'MARIE SAINT-FRAI' A TARBES"</f>
        <v>EHPAD 'MARIE SAINT-FRAI' A TARBES</v>
      </c>
      <c r="C5007" t="s">
        <v>77</v>
      </c>
    </row>
    <row r="5008" spans="1:3" x14ac:dyDescent="0.25">
      <c r="A5008" t="str">
        <f>"650785744"</f>
        <v>650785744</v>
      </c>
      <c r="B5008" t="str">
        <f>"EHPAD LA BAÏSE A GALAN"</f>
        <v>EHPAD LA BAÏSE A GALAN</v>
      </c>
      <c r="C5008" t="s">
        <v>77</v>
      </c>
    </row>
    <row r="5009" spans="1:3" x14ac:dyDescent="0.25">
      <c r="A5009" t="str">
        <f>"650785801"</f>
        <v>650785801</v>
      </c>
      <c r="B5009" t="str">
        <f>"EHPAD CASTELMOULY BAGNERES-DE-BIGORRE"</f>
        <v>EHPAD CASTELMOULY BAGNERES-DE-BIGORRE</v>
      </c>
      <c r="C5009" t="s">
        <v>77</v>
      </c>
    </row>
    <row r="5010" spans="1:3" x14ac:dyDescent="0.25">
      <c r="A5010" t="str">
        <f>"650786064"</f>
        <v>650786064</v>
      </c>
      <c r="B5010" t="str">
        <f>"EHPAD VAL DE L'OURSE A LOURES-BAROUSSE"</f>
        <v>EHPAD VAL DE L'OURSE A LOURES-BAROUSSE</v>
      </c>
      <c r="C5010" t="s">
        <v>77</v>
      </c>
    </row>
    <row r="5011" spans="1:3" x14ac:dyDescent="0.25">
      <c r="A5011" t="str">
        <f>"650786197"</f>
        <v>650786197</v>
      </c>
      <c r="B5011" t="str">
        <f>"EHPAD DE L'AYGUEROTE A TARBES"</f>
        <v>EHPAD DE L'AYGUEROTE A TARBES</v>
      </c>
      <c r="C5011" t="s">
        <v>77</v>
      </c>
    </row>
    <row r="5012" spans="1:3" x14ac:dyDescent="0.25">
      <c r="A5012" t="str">
        <f>"650786650"</f>
        <v>650786650</v>
      </c>
      <c r="B5012" t="str">
        <f>"EHPAD LABASTIDE CH LOURDES"</f>
        <v>EHPAD LABASTIDE CH LOURDES</v>
      </c>
      <c r="C5012" t="s">
        <v>77</v>
      </c>
    </row>
    <row r="5013" spans="1:3" x14ac:dyDescent="0.25">
      <c r="A5013" t="str">
        <f>"650786973"</f>
        <v>650786973</v>
      </c>
      <c r="B5013" t="str">
        <f>"EHPAD SOLEIL D'AUTOMNE A TARBES"</f>
        <v>EHPAD SOLEIL D'AUTOMNE A TARBES</v>
      </c>
      <c r="C5013" t="s">
        <v>77</v>
      </c>
    </row>
    <row r="5014" spans="1:3" x14ac:dyDescent="0.25">
      <c r="A5014" t="str">
        <f>"650786981"</f>
        <v>650786981</v>
      </c>
      <c r="B5014" t="str">
        <f>"EHPAD LE JONQUERE"</f>
        <v>EHPAD LE JONQUERE</v>
      </c>
      <c r="C5014" t="s">
        <v>77</v>
      </c>
    </row>
    <row r="5015" spans="1:3" x14ac:dyDescent="0.25">
      <c r="A5015" t="str">
        <f>"650787112"</f>
        <v>650787112</v>
      </c>
      <c r="B5015" t="str">
        <f>"EHPAD LES RAMONDIAS LUZ-SAINT-SAUVEUR"</f>
        <v>EHPAD LES RAMONDIAS LUZ-SAINT-SAUVEUR</v>
      </c>
      <c r="C5015" t="s">
        <v>77</v>
      </c>
    </row>
    <row r="5016" spans="1:3" x14ac:dyDescent="0.25">
      <c r="A5016" t="str">
        <f>"650787195"</f>
        <v>650787195</v>
      </c>
      <c r="B5016" t="str">
        <f>"EHPAD LA CLAIRIERE ET LES ACACIAS VIC"</f>
        <v>EHPAD LA CLAIRIERE ET LES ACACIAS VIC</v>
      </c>
      <c r="C5016" t="s">
        <v>77</v>
      </c>
    </row>
    <row r="5017" spans="1:3" x14ac:dyDescent="0.25">
      <c r="A5017" t="str">
        <f>"650788433"</f>
        <v>650788433</v>
      </c>
      <c r="B5017" t="str">
        <f>"EHPAD PYRENE PLUS A SAINT-PE DE B."</f>
        <v>EHPAD PYRENE PLUS A SAINT-PE DE B.</v>
      </c>
      <c r="C5017" t="s">
        <v>77</v>
      </c>
    </row>
    <row r="5018" spans="1:3" x14ac:dyDescent="0.25">
      <c r="A5018" t="str">
        <f>"650788458"</f>
        <v>650788458</v>
      </c>
      <c r="B5018" t="str">
        <f>"EHPAD LA MADONE A LOURDES"</f>
        <v>EHPAD LA MADONE A LOURDES</v>
      </c>
      <c r="C5018" t="s">
        <v>77</v>
      </c>
    </row>
    <row r="5019" spans="1:3" x14ac:dyDescent="0.25">
      <c r="A5019" t="str">
        <f>"650788755"</f>
        <v>650788755</v>
      </c>
      <c r="B5019" t="str">
        <f>"EHPAD ZELIA A IBOS"</f>
        <v>EHPAD ZELIA A IBOS</v>
      </c>
      <c r="C5019" t="s">
        <v>77</v>
      </c>
    </row>
    <row r="5020" spans="1:3" x14ac:dyDescent="0.25">
      <c r="A5020" t="str">
        <f>"650788763"</f>
        <v>650788763</v>
      </c>
      <c r="B5020" t="str">
        <f>"EHPAD RESIDENCE DU LAC A ORLEIX"</f>
        <v>EHPAD RESIDENCE DU LAC A ORLEIX</v>
      </c>
      <c r="C5020" t="s">
        <v>77</v>
      </c>
    </row>
    <row r="5021" spans="1:3" x14ac:dyDescent="0.25">
      <c r="A5021" t="str">
        <f>"650788805"</f>
        <v>650788805</v>
      </c>
      <c r="B5021" t="str">
        <f>"EHPAD RESID. MUTUALISTE LA PYRENEENNE"</f>
        <v>EHPAD RESID. MUTUALISTE LA PYRENEENNE</v>
      </c>
      <c r="C5021" t="s">
        <v>77</v>
      </c>
    </row>
    <row r="5022" spans="1:3" x14ac:dyDescent="0.25">
      <c r="A5022" t="str">
        <f>"650789126"</f>
        <v>650789126</v>
      </c>
      <c r="B5022" t="str">
        <f>"EHPAD FOYER DU PETIT JER A LOURDES"</f>
        <v>EHPAD FOYER DU PETIT JER A LOURDES</v>
      </c>
      <c r="C5022" t="s">
        <v>77</v>
      </c>
    </row>
    <row r="5023" spans="1:3" x14ac:dyDescent="0.25">
      <c r="A5023" t="str">
        <f>"650789175"</f>
        <v>650789175</v>
      </c>
      <c r="B5023" t="str">
        <f>"EHPAD SAINTE-MARIE A SIRADAN"</f>
        <v>EHPAD SAINTE-MARIE A SIRADAN</v>
      </c>
      <c r="C5023" t="s">
        <v>77</v>
      </c>
    </row>
    <row r="5024" spans="1:3" x14ac:dyDescent="0.25">
      <c r="A5024" t="str">
        <f>"660003880"</f>
        <v>660003880</v>
      </c>
      <c r="B5024" t="str">
        <f>"EHPAD LES CAMELIAS"</f>
        <v>EHPAD LES CAMELIAS</v>
      </c>
      <c r="C5024" t="s">
        <v>77</v>
      </c>
    </row>
    <row r="5025" spans="1:3" x14ac:dyDescent="0.25">
      <c r="A5025" t="str">
        <f>"660004763"</f>
        <v>660004763</v>
      </c>
      <c r="B5025" t="str">
        <f>"EHPAD VIA MONESTIR"</f>
        <v>EHPAD VIA MONESTIR</v>
      </c>
      <c r="C5025" t="s">
        <v>77</v>
      </c>
    </row>
    <row r="5026" spans="1:3" x14ac:dyDescent="0.25">
      <c r="A5026" t="str">
        <f>"660004938"</f>
        <v>660004938</v>
      </c>
      <c r="B5026" t="str">
        <f>"EHPAD FRANCIS PANICOT"</f>
        <v>EHPAD FRANCIS PANICOT</v>
      </c>
      <c r="C5026" t="s">
        <v>77</v>
      </c>
    </row>
    <row r="5027" spans="1:3" x14ac:dyDescent="0.25">
      <c r="A5027" t="str">
        <f>"660005323"</f>
        <v>660005323</v>
      </c>
      <c r="B5027" t="str">
        <f>"EHPAD L'OLIVERAIE"</f>
        <v>EHPAD L'OLIVERAIE</v>
      </c>
      <c r="C5027" t="s">
        <v>77</v>
      </c>
    </row>
    <row r="5028" spans="1:3" x14ac:dyDescent="0.25">
      <c r="A5028" t="str">
        <f>"660005679"</f>
        <v>660005679</v>
      </c>
      <c r="B5028" t="str">
        <f>"EHPAD LE RUBAN D'ARGENT"</f>
        <v>EHPAD LE RUBAN D'ARGENT</v>
      </c>
      <c r="C5028" t="s">
        <v>77</v>
      </c>
    </row>
    <row r="5029" spans="1:3" x14ac:dyDescent="0.25">
      <c r="A5029" t="str">
        <f>"660006289"</f>
        <v>660006289</v>
      </c>
      <c r="B5029" t="str">
        <f>"EHPAD RESIDENCE MUTUALISTE"</f>
        <v>EHPAD RESIDENCE MUTUALISTE</v>
      </c>
      <c r="C5029" t="s">
        <v>77</v>
      </c>
    </row>
    <row r="5030" spans="1:3" x14ac:dyDescent="0.25">
      <c r="A5030" t="str">
        <f>"660006552"</f>
        <v>660006552</v>
      </c>
      <c r="B5030" t="str">
        <f>"EHPAD 'GCSM CGR'"</f>
        <v>EHPAD 'GCSM CGR'</v>
      </c>
      <c r="C5030" t="s">
        <v>77</v>
      </c>
    </row>
    <row r="5031" spans="1:3" x14ac:dyDescent="0.25">
      <c r="A5031" t="str">
        <f>"660006578"</f>
        <v>660006578</v>
      </c>
      <c r="B5031" t="str">
        <f>"EHPAD LEON BOURGEOIS"</f>
        <v>EHPAD LEON BOURGEOIS</v>
      </c>
      <c r="C5031" t="s">
        <v>77</v>
      </c>
    </row>
    <row r="5032" spans="1:3" x14ac:dyDescent="0.25">
      <c r="A5032" t="str">
        <f>"660007287"</f>
        <v>660007287</v>
      </c>
      <c r="B5032" t="str">
        <f>"EHPAD RESIDENCE LA LLEVANTINA"</f>
        <v>EHPAD RESIDENCE LA LLEVANTINA</v>
      </c>
      <c r="C5032" t="s">
        <v>77</v>
      </c>
    </row>
    <row r="5033" spans="1:3" x14ac:dyDescent="0.25">
      <c r="A5033" t="str">
        <f>"660007329"</f>
        <v>660007329</v>
      </c>
      <c r="B5033" t="str">
        <f>"EHPAD RESIDENCE MUTUALISTE ST JEAN PLA"</f>
        <v>EHPAD RESIDENCE MUTUALISTE ST JEAN PLA</v>
      </c>
      <c r="C5033" t="s">
        <v>77</v>
      </c>
    </row>
    <row r="5034" spans="1:3" x14ac:dyDescent="0.25">
      <c r="A5034" t="str">
        <f>"660009002"</f>
        <v>660009002</v>
      </c>
      <c r="B5034" t="str">
        <f>"EHPAD PIERRE LAROQUE"</f>
        <v>EHPAD PIERRE LAROQUE</v>
      </c>
      <c r="C5034" t="s">
        <v>77</v>
      </c>
    </row>
    <row r="5035" spans="1:3" x14ac:dyDescent="0.25">
      <c r="A5035" t="str">
        <f>"660780503"</f>
        <v>660780503</v>
      </c>
      <c r="B5035" t="str">
        <f>"EHPAD LES MYOSOTIS"</f>
        <v>EHPAD LES MYOSOTIS</v>
      </c>
      <c r="C5035" t="s">
        <v>77</v>
      </c>
    </row>
    <row r="5036" spans="1:3" x14ac:dyDescent="0.25">
      <c r="A5036" t="str">
        <f>"660780958"</f>
        <v>660780958</v>
      </c>
      <c r="B5036" t="str">
        <f>"EHPAD SIMON VIOLET PERE"</f>
        <v>EHPAD SIMON VIOLET PERE</v>
      </c>
      <c r="C5036" t="s">
        <v>77</v>
      </c>
    </row>
    <row r="5037" spans="1:3" x14ac:dyDescent="0.25">
      <c r="A5037" t="str">
        <f>"660781121"</f>
        <v>660781121</v>
      </c>
      <c r="B5037" t="str">
        <f>"EHPAD BAPTISTE PAMS"</f>
        <v>EHPAD BAPTISTE PAMS</v>
      </c>
      <c r="C5037" t="s">
        <v>77</v>
      </c>
    </row>
    <row r="5038" spans="1:3" x14ac:dyDescent="0.25">
      <c r="A5038" t="str">
        <f>"660781139"</f>
        <v>660781139</v>
      </c>
      <c r="B5038" t="str">
        <f>"EHPAD RESIDENCE PAUL REIG"</f>
        <v>EHPAD RESIDENCE PAUL REIG</v>
      </c>
      <c r="C5038" t="s">
        <v>77</v>
      </c>
    </row>
    <row r="5039" spans="1:3" x14ac:dyDescent="0.25">
      <c r="A5039" t="str">
        <f>"660781154"</f>
        <v>660781154</v>
      </c>
      <c r="B5039" t="str">
        <f>"EHPAD RESIDENCE ST JACQUES"</f>
        <v>EHPAD RESIDENCE ST JACQUES</v>
      </c>
      <c r="C5039" t="s">
        <v>77</v>
      </c>
    </row>
    <row r="5040" spans="1:3" x14ac:dyDescent="0.25">
      <c r="A5040" t="str">
        <f>"660781162"</f>
        <v>660781162</v>
      </c>
      <c r="B5040" t="str">
        <f>"EHPAD FORCA REAL"</f>
        <v>EHPAD FORCA REAL</v>
      </c>
      <c r="C5040" t="s">
        <v>77</v>
      </c>
    </row>
    <row r="5041" spans="1:3" x14ac:dyDescent="0.25">
      <c r="A5041" t="str">
        <f>"660781170"</f>
        <v>660781170</v>
      </c>
      <c r="B5041" t="str">
        <f>"EHPAD EL CANT DELS OCELLS"</f>
        <v>EHPAD EL CANT DELS OCELLS</v>
      </c>
      <c r="C5041" t="s">
        <v>77</v>
      </c>
    </row>
    <row r="5042" spans="1:3" x14ac:dyDescent="0.25">
      <c r="A5042" t="str">
        <f>"660781188"</f>
        <v>660781188</v>
      </c>
      <c r="B5042" t="str">
        <f>"EHPAD NOSTRA CASA"</f>
        <v>EHPAD NOSTRA CASA</v>
      </c>
      <c r="C5042" t="s">
        <v>77</v>
      </c>
    </row>
    <row r="5043" spans="1:3" x14ac:dyDescent="0.25">
      <c r="A5043" t="str">
        <f>"660781196"</f>
        <v>660781196</v>
      </c>
      <c r="B5043" t="str">
        <f>"EHPAD LE MAS D'AGLY"</f>
        <v>EHPAD LE MAS D'AGLY</v>
      </c>
      <c r="C5043" t="s">
        <v>77</v>
      </c>
    </row>
    <row r="5044" spans="1:3" x14ac:dyDescent="0.25">
      <c r="A5044" t="str">
        <f>"660781204"</f>
        <v>660781204</v>
      </c>
      <c r="B5044" t="str">
        <f>"EHPAD LA CASA ASSOLELLADA"</f>
        <v>EHPAD LA CASA ASSOLELLADA</v>
      </c>
      <c r="C5044" t="s">
        <v>77</v>
      </c>
    </row>
    <row r="5045" spans="1:3" x14ac:dyDescent="0.25">
      <c r="A5045" t="str">
        <f>"660781279"</f>
        <v>660781279</v>
      </c>
      <c r="B5045" t="str">
        <f>"EHPAD ODETTE RIBEIL"</f>
        <v>EHPAD ODETTE RIBEIL</v>
      </c>
      <c r="C5045" t="s">
        <v>77</v>
      </c>
    </row>
    <row r="5046" spans="1:3" x14ac:dyDescent="0.25">
      <c r="A5046" t="str">
        <f>"660781352"</f>
        <v>660781352</v>
      </c>
      <c r="B5046" t="str">
        <f>"EHPAD LES CEDRES"</f>
        <v>EHPAD LES CEDRES</v>
      </c>
      <c r="C5046" t="s">
        <v>77</v>
      </c>
    </row>
    <row r="5047" spans="1:3" x14ac:dyDescent="0.25">
      <c r="A5047" t="str">
        <f>"660781360"</f>
        <v>660781360</v>
      </c>
      <c r="B5047" t="str">
        <f>"EHPAD ROSE DE MONTELLA"</f>
        <v>EHPAD ROSE DE MONTELLA</v>
      </c>
      <c r="C5047" t="s">
        <v>77</v>
      </c>
    </row>
    <row r="5048" spans="1:3" x14ac:dyDescent="0.25">
      <c r="A5048" t="str">
        <f>"660781378"</f>
        <v>660781378</v>
      </c>
      <c r="B5048" t="str">
        <f>"EHPAD COSTE BAILLS"</f>
        <v>EHPAD COSTE BAILLS</v>
      </c>
      <c r="C5048" t="s">
        <v>77</v>
      </c>
    </row>
    <row r="5049" spans="1:3" x14ac:dyDescent="0.25">
      <c r="A5049" t="str">
        <f>"660781485"</f>
        <v>660781485</v>
      </c>
      <c r="B5049" t="str">
        <f>"EHPAD GUY MALE"</f>
        <v>EHPAD GUY MALE</v>
      </c>
      <c r="C5049" t="s">
        <v>77</v>
      </c>
    </row>
    <row r="5050" spans="1:3" x14ac:dyDescent="0.25">
      <c r="A5050" t="str">
        <f>"660782525"</f>
        <v>660782525</v>
      </c>
      <c r="B5050" t="str">
        <f>"EHPAD FONDATION DANTJOU VILLAROS"</f>
        <v>EHPAD FONDATION DANTJOU VILLAROS</v>
      </c>
      <c r="C5050" t="s">
        <v>77</v>
      </c>
    </row>
    <row r="5051" spans="1:3" x14ac:dyDescent="0.25">
      <c r="A5051" t="str">
        <f>"660782566"</f>
        <v>660782566</v>
      </c>
      <c r="B5051" t="str">
        <f>"EHPAD VILLA ST FRANCOIS"</f>
        <v>EHPAD VILLA ST FRANCOIS</v>
      </c>
      <c r="C5051" t="s">
        <v>77</v>
      </c>
    </row>
    <row r="5052" spans="1:3" x14ac:dyDescent="0.25">
      <c r="A5052" t="str">
        <f>"660782889"</f>
        <v>660782889</v>
      </c>
      <c r="B5052" t="str">
        <f>"EHPAD JEAN BALAT"</f>
        <v>EHPAD JEAN BALAT</v>
      </c>
      <c r="C5052" t="s">
        <v>77</v>
      </c>
    </row>
    <row r="5053" spans="1:3" x14ac:dyDescent="0.25">
      <c r="A5053" t="str">
        <f>"660782913"</f>
        <v>660782913</v>
      </c>
      <c r="B5053" t="str">
        <f>"EHPAD MA MAISON"</f>
        <v>EHPAD MA MAISON</v>
      </c>
      <c r="C5053" t="s">
        <v>77</v>
      </c>
    </row>
    <row r="5054" spans="1:3" x14ac:dyDescent="0.25">
      <c r="A5054" t="str">
        <f>"660784687"</f>
        <v>660784687</v>
      </c>
      <c r="B5054" t="str">
        <f>"EHPAD LES AVENS - PIERRE CANTIER"</f>
        <v>EHPAD LES AVENS - PIERRE CANTIER</v>
      </c>
      <c r="C5054" t="s">
        <v>77</v>
      </c>
    </row>
    <row r="5055" spans="1:3" x14ac:dyDescent="0.25">
      <c r="A5055" t="str">
        <f>"660785353"</f>
        <v>660785353</v>
      </c>
      <c r="B5055" t="str">
        <f>"EHPAD DU DOCTEUR DAGUES"</f>
        <v>EHPAD DU DOCTEUR DAGUES</v>
      </c>
      <c r="C5055" t="s">
        <v>77</v>
      </c>
    </row>
    <row r="5056" spans="1:3" x14ac:dyDescent="0.25">
      <c r="A5056" t="str">
        <f>"660785437"</f>
        <v>660785437</v>
      </c>
      <c r="B5056" t="str">
        <f>"EHPAD VINCENT AZEMA"</f>
        <v>EHPAD VINCENT AZEMA</v>
      </c>
      <c r="C5056" t="s">
        <v>77</v>
      </c>
    </row>
    <row r="5057" spans="1:3" x14ac:dyDescent="0.25">
      <c r="A5057" t="str">
        <f>"660785460"</f>
        <v>660785460</v>
      </c>
      <c r="B5057" t="str">
        <f>"EHPAD LA CASTELLANE"</f>
        <v>EHPAD LA CASTELLANE</v>
      </c>
      <c r="C5057" t="s">
        <v>77</v>
      </c>
    </row>
    <row r="5058" spans="1:3" x14ac:dyDescent="0.25">
      <c r="A5058" t="str">
        <f>"660785486"</f>
        <v>660785486</v>
      </c>
      <c r="B5058" t="str">
        <f>"EHPAD ST SACREMENT"</f>
        <v>EHPAD ST SACREMENT</v>
      </c>
      <c r="C5058" t="s">
        <v>77</v>
      </c>
    </row>
    <row r="5059" spans="1:3" x14ac:dyDescent="0.25">
      <c r="A5059" t="str">
        <f>"660785502"</f>
        <v>660785502</v>
      </c>
      <c r="B5059" t="str">
        <f>"EHPAD LES VALBERES"</f>
        <v>EHPAD LES VALBERES</v>
      </c>
      <c r="C5059" t="s">
        <v>77</v>
      </c>
    </row>
    <row r="5060" spans="1:3" x14ac:dyDescent="0.25">
      <c r="A5060" t="str">
        <f>"660785510"</f>
        <v>660785510</v>
      </c>
      <c r="B5060" t="str">
        <f>"EHPAD LES AIRELLES"</f>
        <v>EHPAD LES AIRELLES</v>
      </c>
      <c r="C5060" t="s">
        <v>77</v>
      </c>
    </row>
    <row r="5061" spans="1:3" x14ac:dyDescent="0.25">
      <c r="A5061" t="str">
        <f>"660785528"</f>
        <v>660785528</v>
      </c>
      <c r="B5061" t="str">
        <f>"EHPAD LES LAURIERS ROSES"</f>
        <v>EHPAD LES LAURIERS ROSES</v>
      </c>
      <c r="C5061" t="s">
        <v>77</v>
      </c>
    </row>
    <row r="5062" spans="1:3" x14ac:dyDescent="0.25">
      <c r="A5062" t="str">
        <f>"660785536"</f>
        <v>660785536</v>
      </c>
      <c r="B5062" t="str">
        <f>"EHPAD RESIDENCE DU MOULIN"</f>
        <v>EHPAD RESIDENCE DU MOULIN</v>
      </c>
      <c r="C5062" t="s">
        <v>77</v>
      </c>
    </row>
    <row r="5063" spans="1:3" x14ac:dyDescent="0.25">
      <c r="A5063" t="str">
        <f>"660785544"</f>
        <v>660785544</v>
      </c>
      <c r="B5063" t="str">
        <f>"EHPAD LES CAPUCINES"</f>
        <v>EHPAD LES CAPUCINES</v>
      </c>
      <c r="C5063" t="s">
        <v>77</v>
      </c>
    </row>
    <row r="5064" spans="1:3" x14ac:dyDescent="0.25">
      <c r="A5064" t="str">
        <f>"660785551"</f>
        <v>660785551</v>
      </c>
      <c r="B5064" t="str">
        <f>"EHPAD RESIDENCE LE MOULIN"</f>
        <v>EHPAD RESIDENCE LE MOULIN</v>
      </c>
      <c r="C5064" t="s">
        <v>77</v>
      </c>
    </row>
    <row r="5065" spans="1:3" x14ac:dyDescent="0.25">
      <c r="A5065" t="str">
        <f>"660785569"</f>
        <v>660785569</v>
      </c>
      <c r="B5065" t="str">
        <f>"EHPAD LES JARDINS SAINT JACQUES"</f>
        <v>EHPAD LES JARDINS SAINT JACQUES</v>
      </c>
      <c r="C5065" t="s">
        <v>77</v>
      </c>
    </row>
    <row r="5066" spans="1:3" x14ac:dyDescent="0.25">
      <c r="A5066" t="str">
        <f>"660785593"</f>
        <v>660785593</v>
      </c>
      <c r="B5066" t="str">
        <f>"EHPAD LA LOGE DE MER"</f>
        <v>EHPAD LA LOGE DE MER</v>
      </c>
      <c r="C5066" t="s">
        <v>77</v>
      </c>
    </row>
    <row r="5067" spans="1:3" x14ac:dyDescent="0.25">
      <c r="A5067" t="str">
        <f>"660785684"</f>
        <v>660785684</v>
      </c>
      <c r="B5067" t="str">
        <f>"EHPAD JEAN ROSTAND"</f>
        <v>EHPAD JEAN ROSTAND</v>
      </c>
      <c r="C5067" t="s">
        <v>77</v>
      </c>
    </row>
    <row r="5068" spans="1:3" x14ac:dyDescent="0.25">
      <c r="A5068" t="str">
        <f>"660785767"</f>
        <v>660785767</v>
      </c>
      <c r="B5068" t="str">
        <f>"EHPAD STE EUGENIE"</f>
        <v>EHPAD STE EUGENIE</v>
      </c>
      <c r="C5068" t="s">
        <v>77</v>
      </c>
    </row>
    <row r="5069" spans="1:3" x14ac:dyDescent="0.25">
      <c r="A5069" t="str">
        <f>"660785775"</f>
        <v>660785775</v>
      </c>
      <c r="B5069" t="str">
        <f>"EHPAD LA CATALANE"</f>
        <v>EHPAD LA CATALANE</v>
      </c>
      <c r="C5069" t="s">
        <v>77</v>
      </c>
    </row>
    <row r="5070" spans="1:3" x14ac:dyDescent="0.25">
      <c r="A5070" t="str">
        <f>"660787029"</f>
        <v>660787029</v>
      </c>
      <c r="B5070" t="str">
        <f>"EHPAD RESIDENCE DE LA TOUR"</f>
        <v>EHPAD RESIDENCE DE LA TOUR</v>
      </c>
      <c r="C5070" t="s">
        <v>77</v>
      </c>
    </row>
    <row r="5071" spans="1:3" x14ac:dyDescent="0.25">
      <c r="A5071" t="str">
        <f>"660787797"</f>
        <v>660787797</v>
      </c>
      <c r="B5071" t="str">
        <f>"EHPAD LES TUILES VERTES"</f>
        <v>EHPAD LES TUILES VERTES</v>
      </c>
      <c r="C5071" t="s">
        <v>77</v>
      </c>
    </row>
    <row r="5072" spans="1:3" x14ac:dyDescent="0.25">
      <c r="A5072" t="str">
        <f>"660790148"</f>
        <v>660790148</v>
      </c>
      <c r="B5072" t="str">
        <f>"EHPAD LOUIS PASTEUR"</f>
        <v>EHPAD LOUIS PASTEUR</v>
      </c>
      <c r="C5072" t="s">
        <v>77</v>
      </c>
    </row>
    <row r="5073" spans="1:3" x14ac:dyDescent="0.25">
      <c r="A5073" t="str">
        <f>"660790270"</f>
        <v>660790270</v>
      </c>
      <c r="B5073" t="str">
        <f>"EHPAD KORIAN CATALOGNE"</f>
        <v>EHPAD KORIAN CATALOGNE</v>
      </c>
      <c r="C5073" t="s">
        <v>77</v>
      </c>
    </row>
    <row r="5074" spans="1:3" x14ac:dyDescent="0.25">
      <c r="A5074" t="str">
        <f>"660790304"</f>
        <v>660790304</v>
      </c>
      <c r="B5074" t="str">
        <f>"EHPAD FRANCIS CATALA"</f>
        <v>EHPAD FRANCIS CATALA</v>
      </c>
      <c r="C5074" t="s">
        <v>77</v>
      </c>
    </row>
    <row r="5075" spans="1:3" x14ac:dyDescent="0.25">
      <c r="A5075" t="str">
        <f>"670003540"</f>
        <v>670003540</v>
      </c>
      <c r="B5075" t="str">
        <f>"EHPAD DU MANOIR"</f>
        <v>EHPAD DU MANOIR</v>
      </c>
      <c r="C5075" t="s">
        <v>62</v>
      </c>
    </row>
    <row r="5076" spans="1:3" x14ac:dyDescent="0.25">
      <c r="A5076" t="str">
        <f>"670003565"</f>
        <v>670003565</v>
      </c>
      <c r="B5076" t="str">
        <f>"EHPAD SAINTE CROIX"</f>
        <v>EHPAD SAINTE CROIX</v>
      </c>
      <c r="C5076" t="s">
        <v>62</v>
      </c>
    </row>
    <row r="5077" spans="1:3" x14ac:dyDescent="0.25">
      <c r="A5077" t="str">
        <f>"670003581"</f>
        <v>670003581</v>
      </c>
      <c r="B5077" t="str">
        <f>"EHPAD LE BADBRONN"</f>
        <v>EHPAD LE BADBRONN</v>
      </c>
      <c r="C5077" t="s">
        <v>62</v>
      </c>
    </row>
    <row r="5078" spans="1:3" x14ac:dyDescent="0.25">
      <c r="A5078" t="str">
        <f>"670003615"</f>
        <v>670003615</v>
      </c>
      <c r="B5078" t="str">
        <f>"EHPAD LE GENTIL HOME"</f>
        <v>EHPAD LE GENTIL HOME</v>
      </c>
      <c r="C5078" t="s">
        <v>62</v>
      </c>
    </row>
    <row r="5079" spans="1:3" x14ac:dyDescent="0.25">
      <c r="A5079" t="str">
        <f>"670003631"</f>
        <v>670003631</v>
      </c>
      <c r="B5079" t="str">
        <f>"EHPAD AU FIL DE L'EAU"</f>
        <v>EHPAD AU FIL DE L'EAU</v>
      </c>
      <c r="C5079" t="s">
        <v>62</v>
      </c>
    </row>
    <row r="5080" spans="1:3" x14ac:dyDescent="0.25">
      <c r="A5080" t="str">
        <f>"670003656"</f>
        <v>670003656</v>
      </c>
      <c r="B5080" t="str">
        <f>"EHPAD NOTRE DAME"</f>
        <v>EHPAD NOTRE DAME</v>
      </c>
      <c r="C5080" t="s">
        <v>62</v>
      </c>
    </row>
    <row r="5081" spans="1:3" x14ac:dyDescent="0.25">
      <c r="A5081" t="str">
        <f>"670003664"</f>
        <v>670003664</v>
      </c>
      <c r="B5081" t="str">
        <f>"EHPAD MERE ALPHONSE MARIE"</f>
        <v>EHPAD MERE ALPHONSE MARIE</v>
      </c>
      <c r="C5081" t="s">
        <v>62</v>
      </c>
    </row>
    <row r="5082" spans="1:3" x14ac:dyDescent="0.25">
      <c r="A5082" t="str">
        <f>"670006279"</f>
        <v>670006279</v>
      </c>
      <c r="B5082" t="str">
        <f>"EHPAD PAUL BERTOLOLY"</f>
        <v>EHPAD PAUL BERTOLOLY</v>
      </c>
      <c r="C5082" t="s">
        <v>62</v>
      </c>
    </row>
    <row r="5083" spans="1:3" x14ac:dyDescent="0.25">
      <c r="A5083" t="str">
        <f>"670006428"</f>
        <v>670006428</v>
      </c>
      <c r="B5083" t="str">
        <f>"EHPAD LES MÉLÈZES"</f>
        <v>EHPAD LES MÉLÈZES</v>
      </c>
      <c r="C5083" t="s">
        <v>62</v>
      </c>
    </row>
    <row r="5084" spans="1:3" x14ac:dyDescent="0.25">
      <c r="A5084" t="str">
        <f>"670006519"</f>
        <v>670006519</v>
      </c>
      <c r="B5084" t="str">
        <f>"EHPAD SILOE EMMAUS"</f>
        <v>EHPAD SILOE EMMAUS</v>
      </c>
      <c r="C5084" t="s">
        <v>62</v>
      </c>
    </row>
    <row r="5085" spans="1:3" x14ac:dyDescent="0.25">
      <c r="A5085" t="str">
        <f>"670006568"</f>
        <v>670006568</v>
      </c>
      <c r="B5085" t="str">
        <f>"EHPAD ABRAPA DANUBE"</f>
        <v>EHPAD ABRAPA DANUBE</v>
      </c>
      <c r="C5085" t="s">
        <v>62</v>
      </c>
    </row>
    <row r="5086" spans="1:3" x14ac:dyDescent="0.25">
      <c r="A5086" t="str">
        <f>"670006618"</f>
        <v>670006618</v>
      </c>
      <c r="B5086" t="str">
        <f>"EHPAD ABRAPA HOLTZHEIM"</f>
        <v>EHPAD ABRAPA HOLTZHEIM</v>
      </c>
      <c r="C5086" t="s">
        <v>62</v>
      </c>
    </row>
    <row r="5087" spans="1:3" x14ac:dyDescent="0.25">
      <c r="A5087" t="str">
        <f>"670007988"</f>
        <v>670007988</v>
      </c>
      <c r="B5087" t="str">
        <f>"EHPAD ABRAPA THAL MARMOUTIER"</f>
        <v>EHPAD ABRAPA THAL MARMOUTIER</v>
      </c>
      <c r="C5087" t="s">
        <v>62</v>
      </c>
    </row>
    <row r="5088" spans="1:3" x14ac:dyDescent="0.25">
      <c r="A5088" t="str">
        <f>"670008598"</f>
        <v>670008598</v>
      </c>
      <c r="B5088" t="str">
        <f>"EHPAD LES 4 VENTS"</f>
        <v>EHPAD LES 4 VENTS</v>
      </c>
      <c r="C5088" t="s">
        <v>62</v>
      </c>
    </row>
    <row r="5089" spans="1:3" x14ac:dyDescent="0.25">
      <c r="A5089" t="str">
        <f>"670010479"</f>
        <v>670010479</v>
      </c>
      <c r="B5089" t="str">
        <f>"EHPAD ABRAPA FINKWILLER"</f>
        <v>EHPAD ABRAPA FINKWILLER</v>
      </c>
      <c r="C5089" t="s">
        <v>62</v>
      </c>
    </row>
    <row r="5090" spans="1:3" x14ac:dyDescent="0.25">
      <c r="A5090" t="str">
        <f>"670010529"</f>
        <v>670010529</v>
      </c>
      <c r="B5090" t="str">
        <f>"EHPAD ABRAPA HOENHEIM"</f>
        <v>EHPAD ABRAPA HOENHEIM</v>
      </c>
      <c r="C5090" t="s">
        <v>62</v>
      </c>
    </row>
    <row r="5091" spans="1:3" x14ac:dyDescent="0.25">
      <c r="A5091" t="str">
        <f>"670011758"</f>
        <v>670011758</v>
      </c>
      <c r="B5091" t="str">
        <f>"EHPAD RESIDENCE DE L'ALUMNAT"</f>
        <v>EHPAD RESIDENCE DE L'ALUMNAT</v>
      </c>
      <c r="C5091" t="s">
        <v>62</v>
      </c>
    </row>
    <row r="5092" spans="1:3" x14ac:dyDescent="0.25">
      <c r="A5092" t="str">
        <f>"670012749"</f>
        <v>670012749</v>
      </c>
      <c r="B5092" t="str">
        <f>"EHPAD WOERTH"</f>
        <v>EHPAD WOERTH</v>
      </c>
      <c r="C5092" t="s">
        <v>62</v>
      </c>
    </row>
    <row r="5093" spans="1:3" x14ac:dyDescent="0.25">
      <c r="A5093" t="str">
        <f>"670013689"</f>
        <v>670013689</v>
      </c>
      <c r="B5093" t="str">
        <f>"EHPAD LA MAISON DU LENDEHOF"</f>
        <v>EHPAD LA MAISON DU LENDEHOF</v>
      </c>
      <c r="C5093" t="s">
        <v>62</v>
      </c>
    </row>
    <row r="5094" spans="1:3" x14ac:dyDescent="0.25">
      <c r="A5094" t="str">
        <f>"670013739"</f>
        <v>670013739</v>
      </c>
      <c r="B5094" t="str">
        <f>"EHPAD LAURY MUNCH"</f>
        <v>EHPAD LAURY MUNCH</v>
      </c>
      <c r="C5094" t="s">
        <v>62</v>
      </c>
    </row>
    <row r="5095" spans="1:3" x14ac:dyDescent="0.25">
      <c r="A5095" t="str">
        <f>"670013853"</f>
        <v>670013853</v>
      </c>
      <c r="B5095" t="str">
        <f>"EHPAD LE TILLEUL"</f>
        <v>EHPAD LE TILLEUL</v>
      </c>
      <c r="C5095" t="s">
        <v>62</v>
      </c>
    </row>
    <row r="5096" spans="1:3" x14ac:dyDescent="0.25">
      <c r="A5096" t="str">
        <f>"670015148"</f>
        <v>670015148</v>
      </c>
      <c r="B5096" t="str">
        <f>"EHPAD CH ERSTEIN"</f>
        <v>EHPAD CH ERSTEIN</v>
      </c>
      <c r="C5096" t="s">
        <v>62</v>
      </c>
    </row>
    <row r="5097" spans="1:3" x14ac:dyDescent="0.25">
      <c r="A5097" t="str">
        <f>"670015155"</f>
        <v>670015155</v>
      </c>
      <c r="B5097" t="str">
        <f>"EHPAD RESIDENCE DOCTEUR MORITZ"</f>
        <v>EHPAD RESIDENCE DOCTEUR MORITZ</v>
      </c>
      <c r="C5097" t="s">
        <v>62</v>
      </c>
    </row>
    <row r="5098" spans="1:3" x14ac:dyDescent="0.25">
      <c r="A5098" t="str">
        <f>"670015296"</f>
        <v>670015296</v>
      </c>
      <c r="B5098" t="str">
        <f>"EHPAD RESIDENCE DE L'AAR"</f>
        <v>EHPAD RESIDENCE DE L'AAR</v>
      </c>
      <c r="C5098" t="s">
        <v>62</v>
      </c>
    </row>
    <row r="5099" spans="1:3" x14ac:dyDescent="0.25">
      <c r="A5099" t="str">
        <f>"670015551"</f>
        <v>670015551</v>
      </c>
      <c r="B5099" t="str">
        <f>"EHPAD INTRA HOSPITALIER"</f>
        <v>EHPAD INTRA HOSPITALIER</v>
      </c>
      <c r="C5099" t="s">
        <v>62</v>
      </c>
    </row>
    <row r="5100" spans="1:3" x14ac:dyDescent="0.25">
      <c r="A5100" t="str">
        <f>"670016187"</f>
        <v>670016187</v>
      </c>
      <c r="B5100" t="str">
        <f>"EHPAD L'ORÉE DU BOIS"</f>
        <v>EHPAD L'ORÉE DU BOIS</v>
      </c>
      <c r="C5100" t="s">
        <v>62</v>
      </c>
    </row>
    <row r="5101" spans="1:3" x14ac:dyDescent="0.25">
      <c r="A5101" t="str">
        <f>"670016195"</f>
        <v>670016195</v>
      </c>
      <c r="B5101" t="str">
        <f>"EHPAD LE CLOS FLEURI"</f>
        <v>EHPAD LE CLOS FLEURI</v>
      </c>
      <c r="C5101" t="s">
        <v>62</v>
      </c>
    </row>
    <row r="5102" spans="1:3" x14ac:dyDescent="0.25">
      <c r="A5102" t="str">
        <f>"670016245"</f>
        <v>670016245</v>
      </c>
      <c r="B5102" t="str">
        <f>"ACCUEIL DE JOUR DU CHIL"</f>
        <v>ACCUEIL DE JOUR DU CHIL</v>
      </c>
      <c r="C5102" t="s">
        <v>62</v>
      </c>
    </row>
    <row r="5103" spans="1:3" x14ac:dyDescent="0.25">
      <c r="A5103" t="str">
        <f>"670016898"</f>
        <v>670016898</v>
      </c>
      <c r="B5103" t="str">
        <f>"EHPAD CLOS DE L'ILLMATT"</f>
        <v>EHPAD CLOS DE L'ILLMATT</v>
      </c>
      <c r="C5103" t="s">
        <v>62</v>
      </c>
    </row>
    <row r="5104" spans="1:3" x14ac:dyDescent="0.25">
      <c r="A5104" t="str">
        <f>"670017011"</f>
        <v>670017011</v>
      </c>
      <c r="B5104" t="str">
        <f>"EHPAD KORIAN LES RIVES DE LA ZORN"</f>
        <v>EHPAD KORIAN LES RIVES DE LA ZORN</v>
      </c>
      <c r="C5104" t="s">
        <v>62</v>
      </c>
    </row>
    <row r="5105" spans="1:3" x14ac:dyDescent="0.25">
      <c r="A5105" t="str">
        <f>"670019249"</f>
        <v>670019249</v>
      </c>
      <c r="B5105" t="str">
        <f>"EHPAD DU NOUVEL HOPITAL OBERNAI"</f>
        <v>EHPAD DU NOUVEL HOPITAL OBERNAI</v>
      </c>
      <c r="C5105" t="s">
        <v>62</v>
      </c>
    </row>
    <row r="5106" spans="1:3" x14ac:dyDescent="0.25">
      <c r="A5106" t="str">
        <f>"670019298"</f>
        <v>670019298</v>
      </c>
      <c r="B5106" t="str">
        <f>"EHPAD DU KRUMMBRUECHEL"</f>
        <v>EHPAD DU KRUMMBRUECHEL</v>
      </c>
      <c r="C5106" t="s">
        <v>62</v>
      </c>
    </row>
    <row r="5107" spans="1:3" x14ac:dyDescent="0.25">
      <c r="A5107" t="str">
        <f>"670780246"</f>
        <v>670780246</v>
      </c>
      <c r="B5107" t="str">
        <f>"EHPAD SAINT CHARLES SCHILTIGHEIM"</f>
        <v>EHPAD SAINT CHARLES SCHILTIGHEIM</v>
      </c>
      <c r="C5107" t="s">
        <v>62</v>
      </c>
    </row>
    <row r="5108" spans="1:3" x14ac:dyDescent="0.25">
      <c r="A5108" t="str">
        <f>"670780535"</f>
        <v>670780535</v>
      </c>
      <c r="B5108" t="str">
        <f>"EHPAD JULIE GSELL"</f>
        <v>EHPAD JULIE GSELL</v>
      </c>
      <c r="C5108" t="s">
        <v>62</v>
      </c>
    </row>
    <row r="5109" spans="1:3" x14ac:dyDescent="0.25">
      <c r="A5109" t="str">
        <f>"670780618"</f>
        <v>670780618</v>
      </c>
      <c r="B5109" t="str">
        <f>"EHPAD STOLTZ-GRIMM"</f>
        <v>EHPAD STOLTZ-GRIMM</v>
      </c>
      <c r="C5109" t="s">
        <v>62</v>
      </c>
    </row>
    <row r="5110" spans="1:3" x14ac:dyDescent="0.25">
      <c r="A5110" t="str">
        <f>"670780667"</f>
        <v>670780667</v>
      </c>
      <c r="B5110" t="str">
        <f>"EHPAD L'ORCHIDÉE"</f>
        <v>EHPAD L'ORCHIDÉE</v>
      </c>
      <c r="C5110" t="s">
        <v>62</v>
      </c>
    </row>
    <row r="5111" spans="1:3" x14ac:dyDescent="0.25">
      <c r="A5111" t="str">
        <f>"670780782"</f>
        <v>670780782</v>
      </c>
      <c r="B5111" t="str">
        <f>"EHPAD ELISA"</f>
        <v>EHPAD ELISA</v>
      </c>
      <c r="C5111" t="s">
        <v>62</v>
      </c>
    </row>
    <row r="5112" spans="1:3" x14ac:dyDescent="0.25">
      <c r="A5112" t="str">
        <f>"670780998"</f>
        <v>670780998</v>
      </c>
      <c r="B5112" t="str">
        <f>"EHPAD DU STIFT"</f>
        <v>EHPAD DU STIFT</v>
      </c>
      <c r="C5112" t="s">
        <v>62</v>
      </c>
    </row>
    <row r="5113" spans="1:3" x14ac:dyDescent="0.25">
      <c r="A5113" t="str">
        <f>"670781046"</f>
        <v>670781046</v>
      </c>
      <c r="B5113" t="str">
        <f>"EHPAD RESIDENCE MARIE ROBERTA"</f>
        <v>EHPAD RESIDENCE MARIE ROBERTA</v>
      </c>
      <c r="C5113" t="s">
        <v>62</v>
      </c>
    </row>
    <row r="5114" spans="1:3" x14ac:dyDescent="0.25">
      <c r="A5114" t="str">
        <f>"670781053"</f>
        <v>670781053</v>
      </c>
      <c r="B5114" t="str">
        <f>"EHPAD DAMBACH LA VILLE"</f>
        <v>EHPAD DAMBACH LA VILLE</v>
      </c>
      <c r="C5114" t="s">
        <v>62</v>
      </c>
    </row>
    <row r="5115" spans="1:3" x14ac:dyDescent="0.25">
      <c r="A5115" t="str">
        <f>"670781061"</f>
        <v>670781061</v>
      </c>
      <c r="B5115" t="str">
        <f>"EHPAD EPFIG"</f>
        <v>EHPAD EPFIG</v>
      </c>
      <c r="C5115" t="s">
        <v>62</v>
      </c>
    </row>
    <row r="5116" spans="1:3" x14ac:dyDescent="0.25">
      <c r="A5116" t="str">
        <f>"670781079"</f>
        <v>670781079</v>
      </c>
      <c r="B5116" t="str">
        <f>"EHPAD LE SCHAUENBURG"</f>
        <v>EHPAD LE SCHAUENBURG</v>
      </c>
      <c r="C5116" t="s">
        <v>62</v>
      </c>
    </row>
    <row r="5117" spans="1:3" x14ac:dyDescent="0.25">
      <c r="A5117" t="str">
        <f>"670781087"</f>
        <v>670781087</v>
      </c>
      <c r="B5117" t="str">
        <f>"EHPAD RESIDENCE DU PARC"</f>
        <v>EHPAD RESIDENCE DU PARC</v>
      </c>
      <c r="C5117" t="s">
        <v>62</v>
      </c>
    </row>
    <row r="5118" spans="1:3" x14ac:dyDescent="0.25">
      <c r="A5118" t="str">
        <f>"670781095"</f>
        <v>670781095</v>
      </c>
      <c r="B5118" t="str">
        <f>"EHPAD SELTZ"</f>
        <v>EHPAD SELTZ</v>
      </c>
      <c r="C5118" t="s">
        <v>62</v>
      </c>
    </row>
    <row r="5119" spans="1:3" x14ac:dyDescent="0.25">
      <c r="A5119" t="str">
        <f>"670781723"</f>
        <v>670781723</v>
      </c>
      <c r="B5119" t="str">
        <f>"EHPAD BETHLEHEM"</f>
        <v>EHPAD BETHLEHEM</v>
      </c>
      <c r="C5119" t="s">
        <v>62</v>
      </c>
    </row>
    <row r="5120" spans="1:3" x14ac:dyDescent="0.25">
      <c r="A5120" t="str">
        <f>"670782085"</f>
        <v>670782085</v>
      </c>
      <c r="B5120" t="str">
        <f>"EHPAD SALEM"</f>
        <v>EHPAD SALEM</v>
      </c>
      <c r="C5120" t="s">
        <v>62</v>
      </c>
    </row>
    <row r="5121" spans="1:3" x14ac:dyDescent="0.25">
      <c r="A5121" t="str">
        <f>"670783216"</f>
        <v>670783216</v>
      </c>
      <c r="B5121" t="str">
        <f>"EHPAD SAREPTA"</f>
        <v>EHPAD SAREPTA</v>
      </c>
      <c r="C5121" t="s">
        <v>62</v>
      </c>
    </row>
    <row r="5122" spans="1:3" x14ac:dyDescent="0.25">
      <c r="A5122" t="str">
        <f>"670783331"</f>
        <v>670783331</v>
      </c>
      <c r="B5122" t="str">
        <f>"EHPAD DU GIESSEN"</f>
        <v>EHPAD DU GIESSEN</v>
      </c>
      <c r="C5122" t="s">
        <v>62</v>
      </c>
    </row>
    <row r="5123" spans="1:3" x14ac:dyDescent="0.25">
      <c r="A5123" t="str">
        <f>"670784404"</f>
        <v>670784404</v>
      </c>
      <c r="B5123" t="str">
        <f>"EHPAD STANISLAS"</f>
        <v>EHPAD STANISLAS</v>
      </c>
      <c r="C5123" t="s">
        <v>62</v>
      </c>
    </row>
    <row r="5124" spans="1:3" x14ac:dyDescent="0.25">
      <c r="A5124" t="str">
        <f>"670784412"</f>
        <v>670784412</v>
      </c>
      <c r="B5124" t="str">
        <f>"EHPAD LAUTERBOURG"</f>
        <v>EHPAD LAUTERBOURG</v>
      </c>
      <c r="C5124" t="s">
        <v>62</v>
      </c>
    </row>
    <row r="5125" spans="1:3" x14ac:dyDescent="0.25">
      <c r="A5125" t="str">
        <f>"670784420"</f>
        <v>670784420</v>
      </c>
      <c r="B5125" t="str">
        <f>"EHPAD LES MAISONS DU DR OBERKIRCH"</f>
        <v>EHPAD LES MAISONS DU DR OBERKIRCH</v>
      </c>
      <c r="C5125" t="s">
        <v>62</v>
      </c>
    </row>
    <row r="5126" spans="1:3" x14ac:dyDescent="0.25">
      <c r="A5126" t="str">
        <f>"670784479"</f>
        <v>670784479</v>
      </c>
      <c r="B5126" t="str">
        <f>"EHPAD LES TILLEULS DE JEANNE"</f>
        <v>EHPAD LES TILLEULS DE JEANNE</v>
      </c>
      <c r="C5126" t="s">
        <v>62</v>
      </c>
    </row>
    <row r="5127" spans="1:3" x14ac:dyDescent="0.25">
      <c r="A5127" t="str">
        <f>"670787787"</f>
        <v>670787787</v>
      </c>
      <c r="B5127" t="str">
        <f>"EHPAD SAINT JOSEPH"</f>
        <v>EHPAD SAINT JOSEPH</v>
      </c>
      <c r="C5127" t="s">
        <v>62</v>
      </c>
    </row>
    <row r="5128" spans="1:3" x14ac:dyDescent="0.25">
      <c r="A5128" t="str">
        <f>"670787795"</f>
        <v>670787795</v>
      </c>
      <c r="B5128" t="str">
        <f>"EHPAD DU SACRE-COEUR"</f>
        <v>EHPAD DU SACRE-COEUR</v>
      </c>
      <c r="C5128" t="s">
        <v>62</v>
      </c>
    </row>
    <row r="5129" spans="1:3" x14ac:dyDescent="0.25">
      <c r="A5129" t="str">
        <f>"670787803"</f>
        <v>670787803</v>
      </c>
      <c r="B5129" t="str">
        <f>"EHPAD LA NIEDERBOURG"</f>
        <v>EHPAD LA NIEDERBOURG</v>
      </c>
      <c r="C5129" t="s">
        <v>62</v>
      </c>
    </row>
    <row r="5130" spans="1:3" x14ac:dyDescent="0.25">
      <c r="A5130" t="str">
        <f>"670787829"</f>
        <v>670787829</v>
      </c>
      <c r="B5130" t="str">
        <f>"EHPAD LE DIACONAT"</f>
        <v>EHPAD LE DIACONAT</v>
      </c>
      <c r="C5130" t="s">
        <v>62</v>
      </c>
    </row>
    <row r="5131" spans="1:3" x14ac:dyDescent="0.25">
      <c r="A5131" t="str">
        <f>"670787837"</f>
        <v>670787837</v>
      </c>
      <c r="B5131" t="str">
        <f>"EHPAD MAISON SAINT-JOSEPH"</f>
        <v>EHPAD MAISON SAINT-JOSEPH</v>
      </c>
      <c r="C5131" t="s">
        <v>62</v>
      </c>
    </row>
    <row r="5132" spans="1:3" x14ac:dyDescent="0.25">
      <c r="A5132" t="str">
        <f>"670787845"</f>
        <v>670787845</v>
      </c>
      <c r="B5132" t="str">
        <f>"EHPAD SAINT FRANÇOIS"</f>
        <v>EHPAD SAINT FRANÇOIS</v>
      </c>
      <c r="C5132" t="s">
        <v>62</v>
      </c>
    </row>
    <row r="5133" spans="1:3" x14ac:dyDescent="0.25">
      <c r="A5133" t="str">
        <f>"670787852"</f>
        <v>670787852</v>
      </c>
      <c r="B5133" t="str">
        <f>"EHPAD ABRAPA KOENIGSHOFFEN"</f>
        <v>EHPAD ABRAPA KOENIGSHOFFEN</v>
      </c>
      <c r="C5133" t="s">
        <v>62</v>
      </c>
    </row>
    <row r="5134" spans="1:3" x14ac:dyDescent="0.25">
      <c r="A5134" t="str">
        <f>"670787860"</f>
        <v>670787860</v>
      </c>
      <c r="B5134" t="str">
        <f>"EHPAD ABRAPA ILLKIRCH"</f>
        <v>EHPAD ABRAPA ILLKIRCH</v>
      </c>
      <c r="C5134" t="s">
        <v>62</v>
      </c>
    </row>
    <row r="5135" spans="1:3" x14ac:dyDescent="0.25">
      <c r="A5135" t="str">
        <f>"670787878"</f>
        <v>670787878</v>
      </c>
      <c r="B5135" t="str">
        <f>"EHPAD CARITAS"</f>
        <v>EHPAD CARITAS</v>
      </c>
      <c r="C5135" t="s">
        <v>62</v>
      </c>
    </row>
    <row r="5136" spans="1:3" x14ac:dyDescent="0.25">
      <c r="A5136" t="str">
        <f>"670787894"</f>
        <v>670787894</v>
      </c>
      <c r="B5136" t="str">
        <f>"EHPAD EMMAUS KOENIGSHOFFEN"</f>
        <v>EHPAD EMMAUS KOENIGSHOFFEN</v>
      </c>
      <c r="C5136" t="s">
        <v>62</v>
      </c>
    </row>
    <row r="5137" spans="1:3" x14ac:dyDescent="0.25">
      <c r="A5137" t="str">
        <f>"670790104"</f>
        <v>670790104</v>
      </c>
      <c r="B5137" t="str">
        <f>"HUS EHPAD BOIS FLEURI"</f>
        <v>HUS EHPAD BOIS FLEURI</v>
      </c>
      <c r="C5137" t="s">
        <v>62</v>
      </c>
    </row>
    <row r="5138" spans="1:3" x14ac:dyDescent="0.25">
      <c r="A5138" t="str">
        <f>"670790112"</f>
        <v>670790112</v>
      </c>
      <c r="B5138" t="str">
        <f>"EHPAD ABRAPA STEPHANIE"</f>
        <v>EHPAD ABRAPA STEPHANIE</v>
      </c>
      <c r="C5138" t="s">
        <v>62</v>
      </c>
    </row>
    <row r="5139" spans="1:3" x14ac:dyDescent="0.25">
      <c r="A5139" t="str">
        <f>"670791276"</f>
        <v>670791276</v>
      </c>
      <c r="B5139" t="str">
        <f>"EHPAD BARTISCHGUT"</f>
        <v>EHPAD BARTISCHGUT</v>
      </c>
      <c r="C5139" t="s">
        <v>62</v>
      </c>
    </row>
    <row r="5140" spans="1:3" x14ac:dyDescent="0.25">
      <c r="A5140" t="str">
        <f>"670791284"</f>
        <v>670791284</v>
      </c>
      <c r="B5140" t="str">
        <f>"EHPAD MISSIONS AFRICAINES"</f>
        <v>EHPAD MISSIONS AFRICAINES</v>
      </c>
      <c r="C5140" t="s">
        <v>62</v>
      </c>
    </row>
    <row r="5141" spans="1:3" x14ac:dyDescent="0.25">
      <c r="A5141" t="str">
        <f>"670792977"</f>
        <v>670792977</v>
      </c>
      <c r="B5141" t="str">
        <f>"EHPAD CH DE SAVERNE"</f>
        <v>EHPAD CH DE SAVERNE</v>
      </c>
      <c r="C5141" t="s">
        <v>62</v>
      </c>
    </row>
    <row r="5142" spans="1:3" x14ac:dyDescent="0.25">
      <c r="A5142" t="str">
        <f>"670793173"</f>
        <v>670793173</v>
      </c>
      <c r="B5142" t="str">
        <f>"EHPAD BESTHESDA CONTADES"</f>
        <v>EHPAD BESTHESDA CONTADES</v>
      </c>
      <c r="C5142" t="s">
        <v>62</v>
      </c>
    </row>
    <row r="5143" spans="1:3" x14ac:dyDescent="0.25">
      <c r="A5143" t="str">
        <f>"670793363"</f>
        <v>670793363</v>
      </c>
      <c r="B5143" t="str">
        <f>"EHPAD DES HÊTRES"</f>
        <v>EHPAD DES HÊTRES</v>
      </c>
      <c r="C5143" t="s">
        <v>62</v>
      </c>
    </row>
    <row r="5144" spans="1:3" x14ac:dyDescent="0.25">
      <c r="A5144" t="str">
        <f>"670793371"</f>
        <v>670793371</v>
      </c>
      <c r="B5144" t="str">
        <f>"EHPAD SANS SOUCI"</f>
        <v>EHPAD SANS SOUCI</v>
      </c>
      <c r="C5144" t="s">
        <v>62</v>
      </c>
    </row>
    <row r="5145" spans="1:3" x14ac:dyDescent="0.25">
      <c r="A5145" t="str">
        <f>"670793579"</f>
        <v>670793579</v>
      </c>
      <c r="B5145" t="str">
        <f>"EHPAD CH HAGUENAU"</f>
        <v>EHPAD CH HAGUENAU</v>
      </c>
      <c r="C5145" t="s">
        <v>62</v>
      </c>
    </row>
    <row r="5146" spans="1:3" x14ac:dyDescent="0.25">
      <c r="A5146" t="str">
        <f>"670793652"</f>
        <v>670793652</v>
      </c>
      <c r="B5146" t="str">
        <f>"EHPAD LES BERGES DE L'EHN"</f>
        <v>EHPAD LES BERGES DE L'EHN</v>
      </c>
      <c r="C5146" t="s">
        <v>62</v>
      </c>
    </row>
    <row r="5147" spans="1:3" x14ac:dyDescent="0.25">
      <c r="A5147" t="str">
        <f>"670793660"</f>
        <v>670793660</v>
      </c>
      <c r="B5147" t="str">
        <f>"EHPAD MARCEL KRIEG"</f>
        <v>EHPAD MARCEL KRIEG</v>
      </c>
      <c r="C5147" t="s">
        <v>62</v>
      </c>
    </row>
    <row r="5148" spans="1:3" x14ac:dyDescent="0.25">
      <c r="A5148" t="str">
        <f>"670793686"</f>
        <v>670793686</v>
      </c>
      <c r="B5148" t="str">
        <f>"EHPAD RESIDENCE DE L'ILLMATT"</f>
        <v>EHPAD RESIDENCE DE L'ILLMATT</v>
      </c>
      <c r="C5148" t="s">
        <v>62</v>
      </c>
    </row>
    <row r="5149" spans="1:3" x14ac:dyDescent="0.25">
      <c r="A5149" t="str">
        <f>"670793694"</f>
        <v>670793694</v>
      </c>
      <c r="B5149" t="str">
        <f>"EHPAD HANAU-LICHTENBERG"</f>
        <v>EHPAD HANAU-LICHTENBERG</v>
      </c>
      <c r="C5149" t="s">
        <v>62</v>
      </c>
    </row>
    <row r="5150" spans="1:3" x14ac:dyDescent="0.25">
      <c r="A5150" t="str">
        <f>"670793702"</f>
        <v>670793702</v>
      </c>
      <c r="B5150" t="str">
        <f>"EHPAD HOPITAL LA GRAFENBOURG"</f>
        <v>EHPAD HOPITAL LA GRAFENBOURG</v>
      </c>
      <c r="C5150" t="s">
        <v>62</v>
      </c>
    </row>
    <row r="5151" spans="1:3" x14ac:dyDescent="0.25">
      <c r="A5151" t="str">
        <f>"670793710"</f>
        <v>670793710</v>
      </c>
      <c r="B5151" t="str">
        <f>"EHPAD LES JARDINS D'IRMENGARD"</f>
        <v>EHPAD LES JARDINS D'IRMENGARD</v>
      </c>
      <c r="C5151" t="s">
        <v>62</v>
      </c>
    </row>
    <row r="5152" spans="1:3" x14ac:dyDescent="0.25">
      <c r="A5152" t="str">
        <f>"670793728"</f>
        <v>670793728</v>
      </c>
      <c r="B5152" t="str">
        <f>"EHPAD RESIDENCE LE RIED"</f>
        <v>EHPAD RESIDENCE LE RIED</v>
      </c>
      <c r="C5152" t="s">
        <v>62</v>
      </c>
    </row>
    <row r="5153" spans="1:3" x14ac:dyDescent="0.25">
      <c r="A5153" t="str">
        <f>"670793736"</f>
        <v>670793736</v>
      </c>
      <c r="B5153" t="str">
        <f>"EHPAD HOPITAL LOCAL DE MOLSHEIM"</f>
        <v>EHPAD HOPITAL LOCAL DE MOLSHEIM</v>
      </c>
      <c r="C5153" t="s">
        <v>62</v>
      </c>
    </row>
    <row r="5154" spans="1:3" x14ac:dyDescent="0.25">
      <c r="A5154" t="str">
        <f>"670793751"</f>
        <v>670793751</v>
      </c>
      <c r="B5154" t="str">
        <f>"EHPAD HOPITAL LOCAL DE ROSHEIM"</f>
        <v>EHPAD HOPITAL LOCAL DE ROSHEIM</v>
      </c>
      <c r="C5154" t="s">
        <v>62</v>
      </c>
    </row>
    <row r="5155" spans="1:3" x14ac:dyDescent="0.25">
      <c r="A5155" t="str">
        <f>"670793769"</f>
        <v>670793769</v>
      </c>
      <c r="B5155" t="str">
        <f>"EHPAD SARRE-UNION"</f>
        <v>EHPAD SARRE-UNION</v>
      </c>
      <c r="C5155" t="s">
        <v>62</v>
      </c>
    </row>
    <row r="5156" spans="1:3" x14ac:dyDescent="0.25">
      <c r="A5156" t="str">
        <f>"670793777"</f>
        <v>670793777</v>
      </c>
      <c r="B5156" t="str">
        <f>"EHPAD WASSELONNE"</f>
        <v>EHPAD WASSELONNE</v>
      </c>
      <c r="C5156" t="s">
        <v>62</v>
      </c>
    </row>
    <row r="5157" spans="1:3" x14ac:dyDescent="0.25">
      <c r="A5157" t="str">
        <f>"670793785"</f>
        <v>670793785</v>
      </c>
      <c r="B5157" t="str">
        <f>"EHPAD MARQUAIRE"</f>
        <v>EHPAD MARQUAIRE</v>
      </c>
      <c r="C5157" t="s">
        <v>62</v>
      </c>
    </row>
    <row r="5158" spans="1:3" x14ac:dyDescent="0.25">
      <c r="A5158" t="str">
        <f>"670794361"</f>
        <v>670794361</v>
      </c>
      <c r="B5158" t="str">
        <f>"EHPAD BETHESDA ARC EN CIEL"</f>
        <v>EHPAD BETHESDA ARC EN CIEL</v>
      </c>
      <c r="C5158" t="s">
        <v>62</v>
      </c>
    </row>
    <row r="5159" spans="1:3" x14ac:dyDescent="0.25">
      <c r="A5159" t="str">
        <f>"670794395"</f>
        <v>670794395</v>
      </c>
      <c r="B5159" t="str">
        <f>"EHPAD DU NEUENBERG"</f>
        <v>EHPAD DU NEUENBERG</v>
      </c>
      <c r="C5159" t="s">
        <v>62</v>
      </c>
    </row>
    <row r="5160" spans="1:3" x14ac:dyDescent="0.25">
      <c r="A5160" t="str">
        <f>"670794478"</f>
        <v>670794478</v>
      </c>
      <c r="B5160" t="str">
        <f>"EHPAD CHDB BISCHWILLER"</f>
        <v>EHPAD CHDB BISCHWILLER</v>
      </c>
      <c r="C5160" t="s">
        <v>62</v>
      </c>
    </row>
    <row r="5161" spans="1:3" x14ac:dyDescent="0.25">
      <c r="A5161" t="str">
        <f>"670794510"</f>
        <v>670794510</v>
      </c>
      <c r="B5161" t="str">
        <f>"EHPAD ABRAPA SAINT ARBOGAST"</f>
        <v>EHPAD ABRAPA SAINT ARBOGAST</v>
      </c>
      <c r="C5161" t="s">
        <v>62</v>
      </c>
    </row>
    <row r="5162" spans="1:3" x14ac:dyDescent="0.25">
      <c r="A5162" t="str">
        <f>"670794635"</f>
        <v>670794635</v>
      </c>
      <c r="B5162" t="str">
        <f>"EHPAD MAISON DE SANTE BETHEL"</f>
        <v>EHPAD MAISON DE SANTE BETHEL</v>
      </c>
      <c r="C5162" t="s">
        <v>62</v>
      </c>
    </row>
    <row r="5163" spans="1:3" x14ac:dyDescent="0.25">
      <c r="A5163" t="str">
        <f>"670795145"</f>
        <v>670795145</v>
      </c>
      <c r="B5163" t="str">
        <f>"EHPAD DE SAALES"</f>
        <v>EHPAD DE SAALES</v>
      </c>
      <c r="C5163" t="s">
        <v>62</v>
      </c>
    </row>
    <row r="5164" spans="1:3" x14ac:dyDescent="0.25">
      <c r="A5164" t="str">
        <f>"670795210"</f>
        <v>670795210</v>
      </c>
      <c r="B5164" t="str">
        <f>"EHPAD LES COLOMBES"</f>
        <v>EHPAD LES COLOMBES</v>
      </c>
      <c r="C5164" t="s">
        <v>62</v>
      </c>
    </row>
    <row r="5165" spans="1:3" x14ac:dyDescent="0.25">
      <c r="A5165" t="str">
        <f>"670795277"</f>
        <v>670795277</v>
      </c>
      <c r="B5165" t="str">
        <f>"EHPAD SAINT-GOTHARD"</f>
        <v>EHPAD SAINT-GOTHARD</v>
      </c>
      <c r="C5165" t="s">
        <v>62</v>
      </c>
    </row>
    <row r="5166" spans="1:3" x14ac:dyDescent="0.25">
      <c r="A5166" t="str">
        <f>"670795434"</f>
        <v>670795434</v>
      </c>
      <c r="B5166" t="str">
        <f>"EHPAD LE KACHELOFE"</f>
        <v>EHPAD LE KACHELOFE</v>
      </c>
      <c r="C5166" t="s">
        <v>62</v>
      </c>
    </row>
    <row r="5167" spans="1:3" x14ac:dyDescent="0.25">
      <c r="A5167" t="str">
        <f>"670795467"</f>
        <v>670795467</v>
      </c>
      <c r="B5167" t="str">
        <f>"EHPAD RESIDENCE DU PARC"</f>
        <v>EHPAD RESIDENCE DU PARC</v>
      </c>
      <c r="C5167" t="s">
        <v>62</v>
      </c>
    </row>
    <row r="5168" spans="1:3" x14ac:dyDescent="0.25">
      <c r="A5168" t="str">
        <f>"670795525"</f>
        <v>670795525</v>
      </c>
      <c r="B5168" t="str">
        <f>"EHPAD ABRAPA REICHSHOFFEN"</f>
        <v>EHPAD ABRAPA REICHSHOFFEN</v>
      </c>
      <c r="C5168" t="s">
        <v>62</v>
      </c>
    </row>
    <row r="5169" spans="1:3" x14ac:dyDescent="0.25">
      <c r="A5169" t="str">
        <f>"670795590"</f>
        <v>670795590</v>
      </c>
      <c r="B5169" t="str">
        <f>"EHPAD ABRAPA MONTAGNE VERTE"</f>
        <v>EHPAD ABRAPA MONTAGNE VERTE</v>
      </c>
      <c r="C5169" t="s">
        <v>62</v>
      </c>
    </row>
    <row r="5170" spans="1:3" x14ac:dyDescent="0.25">
      <c r="A5170" t="str">
        <f>"670795624"</f>
        <v>670795624</v>
      </c>
      <c r="B5170" t="str">
        <f>"EHPAD BEL AUTOMNE"</f>
        <v>EHPAD BEL AUTOMNE</v>
      </c>
      <c r="C5170" t="s">
        <v>62</v>
      </c>
    </row>
    <row r="5171" spans="1:3" x14ac:dyDescent="0.25">
      <c r="A5171" t="str">
        <f>"670795640"</f>
        <v>670795640</v>
      </c>
      <c r="B5171" t="str">
        <f>"EHPAD IM LAEUSCH"</f>
        <v>EHPAD IM LAEUSCH</v>
      </c>
      <c r="C5171" t="s">
        <v>62</v>
      </c>
    </row>
    <row r="5172" spans="1:3" x14ac:dyDescent="0.25">
      <c r="A5172" t="str">
        <f>"670795988"</f>
        <v>670795988</v>
      </c>
      <c r="B5172" t="str">
        <f>"EHPAD MAISON D'ACCUEIL DU KOCHERSBERG"</f>
        <v>EHPAD MAISON D'ACCUEIL DU KOCHERSBERG</v>
      </c>
      <c r="C5172" t="s">
        <v>62</v>
      </c>
    </row>
    <row r="5173" spans="1:3" x14ac:dyDescent="0.25">
      <c r="A5173" t="str">
        <f>"670796341"</f>
        <v>670796341</v>
      </c>
      <c r="B5173" t="str">
        <f>"EHPAD DU KIRCHBERG"</f>
        <v>EHPAD DU KIRCHBERG</v>
      </c>
      <c r="C5173" t="s">
        <v>62</v>
      </c>
    </row>
    <row r="5174" spans="1:3" x14ac:dyDescent="0.25">
      <c r="A5174" t="str">
        <f>"670796366"</f>
        <v>670796366</v>
      </c>
      <c r="B5174" t="str">
        <f>"EHPAD ET ACCUEIL JOUR LES PAQUERETTES"</f>
        <v>EHPAD ET ACCUEIL JOUR LES PAQUERETTES</v>
      </c>
      <c r="C5174" t="s">
        <v>62</v>
      </c>
    </row>
    <row r="5175" spans="1:3" x14ac:dyDescent="0.25">
      <c r="A5175" t="str">
        <f>"670796374"</f>
        <v>670796374</v>
      </c>
      <c r="B5175" t="str">
        <f>"EHPAD LES AULNES"</f>
        <v>EHPAD LES AULNES</v>
      </c>
      <c r="C5175" t="s">
        <v>62</v>
      </c>
    </row>
    <row r="5176" spans="1:3" x14ac:dyDescent="0.25">
      <c r="A5176" t="str">
        <f>"670796408"</f>
        <v>670796408</v>
      </c>
      <c r="B5176" t="str">
        <f>"EHPAD LA ROSELIERE"</f>
        <v>EHPAD LA ROSELIERE</v>
      </c>
      <c r="C5176" t="s">
        <v>62</v>
      </c>
    </row>
    <row r="5177" spans="1:3" x14ac:dyDescent="0.25">
      <c r="A5177" t="str">
        <f>"670796838"</f>
        <v>670796838</v>
      </c>
      <c r="B5177" t="str">
        <f>"EHPAD LA VOUTE ETOILEE"</f>
        <v>EHPAD LA VOUTE ETOILEE</v>
      </c>
      <c r="C5177" t="s">
        <v>62</v>
      </c>
    </row>
    <row r="5178" spans="1:3" x14ac:dyDescent="0.25">
      <c r="A5178" t="str">
        <f>"670796895"</f>
        <v>670796895</v>
      </c>
      <c r="B5178" t="str">
        <f>"EHPAD KORIAN L'AIR DU TEMPS"</f>
        <v>EHPAD KORIAN L'AIR DU TEMPS</v>
      </c>
      <c r="C5178" t="s">
        <v>62</v>
      </c>
    </row>
    <row r="5179" spans="1:3" x14ac:dyDescent="0.25">
      <c r="A5179" t="str">
        <f>"670796937"</f>
        <v>670796937</v>
      </c>
      <c r="B5179" t="str">
        <f>"EHPAD EMMAUS CENTRE VILLE"</f>
        <v>EHPAD EMMAUS CENTRE VILLE</v>
      </c>
      <c r="C5179" t="s">
        <v>62</v>
      </c>
    </row>
    <row r="5180" spans="1:3" x14ac:dyDescent="0.25">
      <c r="A5180" t="str">
        <f>"670797299"</f>
        <v>670797299</v>
      </c>
      <c r="B5180" t="str">
        <f>"EHPAD MAISON D'ACCUEIL LA SOLIDARITE"</f>
        <v>EHPAD MAISON D'ACCUEIL LA SOLIDARITE</v>
      </c>
      <c r="C5180" t="s">
        <v>62</v>
      </c>
    </row>
    <row r="5181" spans="1:3" x14ac:dyDescent="0.25">
      <c r="A5181" t="str">
        <f>"670797349"</f>
        <v>670797349</v>
      </c>
      <c r="B5181" t="str">
        <f>"EHPAD SAINT MARTIN"</f>
        <v>EHPAD SAINT MARTIN</v>
      </c>
      <c r="C5181" t="s">
        <v>62</v>
      </c>
    </row>
    <row r="5182" spans="1:3" x14ac:dyDescent="0.25">
      <c r="A5182" t="str">
        <f>"670797604"</f>
        <v>670797604</v>
      </c>
      <c r="B5182" t="str">
        <f>"EHPAD ABRAPA NEUDORF"</f>
        <v>EHPAD ABRAPA NEUDORF</v>
      </c>
      <c r="C5182" t="s">
        <v>62</v>
      </c>
    </row>
    <row r="5183" spans="1:3" x14ac:dyDescent="0.25">
      <c r="A5183" t="str">
        <f>"670797752"</f>
        <v>670797752</v>
      </c>
      <c r="B5183" t="str">
        <f>"EHPAD SOULTZERLAND"</f>
        <v>EHPAD SOULTZERLAND</v>
      </c>
      <c r="C5183" t="s">
        <v>62</v>
      </c>
    </row>
    <row r="5184" spans="1:3" x14ac:dyDescent="0.25">
      <c r="A5184" t="str">
        <f>"670797778"</f>
        <v>670797778</v>
      </c>
      <c r="B5184" t="str">
        <f>"EHPAD LES COQUELICOTS"</f>
        <v>EHPAD LES COQUELICOTS</v>
      </c>
      <c r="C5184" t="s">
        <v>62</v>
      </c>
    </row>
    <row r="5185" spans="1:3" x14ac:dyDescent="0.25">
      <c r="A5185" t="str">
        <f>"670797919"</f>
        <v>670797919</v>
      </c>
      <c r="B5185" t="str">
        <f>"EHPAD LES HAUTS DE LA ZINSEL"</f>
        <v>EHPAD LES HAUTS DE LA ZINSEL</v>
      </c>
      <c r="C5185" t="s">
        <v>62</v>
      </c>
    </row>
    <row r="5186" spans="1:3" x14ac:dyDescent="0.25">
      <c r="A5186" t="str">
        <f>"670798339"</f>
        <v>670798339</v>
      </c>
      <c r="B5186" t="str">
        <f>"EHPAD CLINIQUE SAINT-LUC"</f>
        <v>EHPAD CLINIQUE SAINT-LUC</v>
      </c>
      <c r="C5186" t="s">
        <v>62</v>
      </c>
    </row>
    <row r="5187" spans="1:3" x14ac:dyDescent="0.25">
      <c r="A5187" t="str">
        <f>"670798438"</f>
        <v>670798438</v>
      </c>
      <c r="B5187" t="str">
        <f>"EHPAD ABRAPA LUTZELHOUSE"</f>
        <v>EHPAD ABRAPA LUTZELHOUSE</v>
      </c>
      <c r="C5187" t="s">
        <v>62</v>
      </c>
    </row>
    <row r="5188" spans="1:3" x14ac:dyDescent="0.25">
      <c r="A5188" t="str">
        <f>"670798800"</f>
        <v>670798800</v>
      </c>
      <c r="B5188" t="str">
        <f>"EHPAD L'ARC-EN-CIEL"</f>
        <v>EHPAD L'ARC-EN-CIEL</v>
      </c>
      <c r="C5188" t="s">
        <v>62</v>
      </c>
    </row>
    <row r="5189" spans="1:3" x14ac:dyDescent="0.25">
      <c r="A5189" t="str">
        <f>"670799220"</f>
        <v>670799220</v>
      </c>
      <c r="B5189" t="str">
        <f>"EHPAD CHDB MAISON DES AINES"</f>
        <v>EHPAD CHDB MAISON DES AINES</v>
      </c>
      <c r="C5189" t="s">
        <v>62</v>
      </c>
    </row>
    <row r="5190" spans="1:3" x14ac:dyDescent="0.25">
      <c r="A5190" t="str">
        <f>"670799600"</f>
        <v>670799600</v>
      </c>
      <c r="B5190" t="str">
        <f>"EHPAD CLINIQUE DE LA TOUSSAINT"</f>
        <v>EHPAD CLINIQUE DE LA TOUSSAINT</v>
      </c>
      <c r="C5190" t="s">
        <v>62</v>
      </c>
    </row>
    <row r="5191" spans="1:3" x14ac:dyDescent="0.25">
      <c r="A5191" t="str">
        <f>"680000965"</f>
        <v>680000965</v>
      </c>
      <c r="B5191" t="str">
        <f>"EHPAD RM CANTON VERT PHV LE BONHOMME"</f>
        <v>EHPAD RM CANTON VERT PHV LE BONHOMME</v>
      </c>
      <c r="C5191" t="s">
        <v>62</v>
      </c>
    </row>
    <row r="5192" spans="1:3" x14ac:dyDescent="0.25">
      <c r="A5192" t="str">
        <f>"680001047"</f>
        <v>680001047</v>
      </c>
      <c r="B5192" t="str">
        <f>"EHPAD ST VINCENT STE CROIX AUX MINES"</f>
        <v>EHPAD ST VINCENT STE CROIX AUX MINES</v>
      </c>
      <c r="C5192" t="s">
        <v>62</v>
      </c>
    </row>
    <row r="5193" spans="1:3" x14ac:dyDescent="0.25">
      <c r="A5193" t="str">
        <f>"680001070"</f>
        <v>680001070</v>
      </c>
      <c r="B5193" t="str">
        <f>"EHPAD DE SOULTZMATT"</f>
        <v>EHPAD DE SOULTZMATT</v>
      </c>
      <c r="C5193" t="s">
        <v>62</v>
      </c>
    </row>
    <row r="5194" spans="1:3" x14ac:dyDescent="0.25">
      <c r="A5194" t="str">
        <f>"680002086"</f>
        <v>680002086</v>
      </c>
      <c r="B5194" t="str">
        <f>"EHPAD RESID DE LA WEISS AMMERSCHWIHR"</f>
        <v>EHPAD RESID DE LA WEISS AMMERSCHWIHR</v>
      </c>
      <c r="C5194" t="s">
        <v>62</v>
      </c>
    </row>
    <row r="5195" spans="1:3" x14ac:dyDescent="0.25">
      <c r="A5195" t="str">
        <f>"680002102"</f>
        <v>680002102</v>
      </c>
      <c r="B5195" t="str">
        <f>"EHPAD GHRMSA - BITSCHWILLER LES THANN"</f>
        <v>EHPAD GHRMSA - BITSCHWILLER LES THANN</v>
      </c>
      <c r="C5195" t="s">
        <v>62</v>
      </c>
    </row>
    <row r="5196" spans="1:3" x14ac:dyDescent="0.25">
      <c r="A5196" t="str">
        <f>"680002136"</f>
        <v>680002136</v>
      </c>
      <c r="B5196" t="str">
        <f>"EHPAD JEAN MONNET"</f>
        <v>EHPAD JEAN MONNET</v>
      </c>
      <c r="C5196" t="s">
        <v>62</v>
      </c>
    </row>
    <row r="5197" spans="1:3" x14ac:dyDescent="0.25">
      <c r="A5197" t="str">
        <f>"680002144"</f>
        <v>680002144</v>
      </c>
      <c r="B5197" t="str">
        <f>"EHPAD LES MAGNOLIAS"</f>
        <v>EHPAD LES MAGNOLIAS</v>
      </c>
      <c r="C5197" t="s">
        <v>62</v>
      </c>
    </row>
    <row r="5198" spans="1:3" x14ac:dyDescent="0.25">
      <c r="A5198" t="str">
        <f>"680002151"</f>
        <v>680002151</v>
      </c>
      <c r="B5198" t="str">
        <f>"EHPAD LE BEAU REGARD"</f>
        <v>EHPAD LE BEAU REGARD</v>
      </c>
      <c r="C5198" t="s">
        <v>62</v>
      </c>
    </row>
    <row r="5199" spans="1:3" x14ac:dyDescent="0.25">
      <c r="A5199" t="str">
        <f>"680002177"</f>
        <v>680002177</v>
      </c>
      <c r="B5199" t="str">
        <f>"EHPAD LE SEQUOIA"</f>
        <v>EHPAD LE SEQUOIA</v>
      </c>
      <c r="C5199" t="s">
        <v>62</v>
      </c>
    </row>
    <row r="5200" spans="1:3" x14ac:dyDescent="0.25">
      <c r="A5200" t="str">
        <f>"680002276"</f>
        <v>680002276</v>
      </c>
      <c r="B5200" t="str">
        <f>"EHPAD BETHESDA MULHOUSE"</f>
        <v>EHPAD BETHESDA MULHOUSE</v>
      </c>
      <c r="C5200" t="s">
        <v>62</v>
      </c>
    </row>
    <row r="5201" spans="1:3" x14ac:dyDescent="0.25">
      <c r="A5201" t="str">
        <f>"680003019"</f>
        <v>680003019</v>
      </c>
      <c r="B5201" t="str">
        <f>"EHPAD DU CDRS COLMAR"</f>
        <v>EHPAD DU CDRS COLMAR</v>
      </c>
      <c r="C5201" t="s">
        <v>62</v>
      </c>
    </row>
    <row r="5202" spans="1:3" x14ac:dyDescent="0.25">
      <c r="A5202" t="str">
        <f>"680003050"</f>
        <v>680003050</v>
      </c>
      <c r="B5202" t="str">
        <f>"EHPAD NOTRE DAME DES APOTRES"</f>
        <v>EHPAD NOTRE DAME DES APOTRES</v>
      </c>
      <c r="C5202" t="s">
        <v>62</v>
      </c>
    </row>
    <row r="5203" spans="1:3" x14ac:dyDescent="0.25">
      <c r="A5203" t="str">
        <f>"680003068"</f>
        <v>680003068</v>
      </c>
      <c r="B5203" t="str">
        <f>"EHPAD LES ÉRABLES"</f>
        <v>EHPAD LES ÉRABLES</v>
      </c>
      <c r="C5203" t="s">
        <v>62</v>
      </c>
    </row>
    <row r="5204" spans="1:3" x14ac:dyDescent="0.25">
      <c r="A5204" t="str">
        <f>"680003076"</f>
        <v>680003076</v>
      </c>
      <c r="B5204" t="str">
        <f>"EHPAD PETIT CHATEAU"</f>
        <v>EHPAD PETIT CHATEAU</v>
      </c>
      <c r="C5204" t="s">
        <v>62</v>
      </c>
    </row>
    <row r="5205" spans="1:3" x14ac:dyDescent="0.25">
      <c r="A5205" t="str">
        <f>"680003084"</f>
        <v>680003084</v>
      </c>
      <c r="B5205" t="str">
        <f>"EHPAD BETHESDA CAROLINE"</f>
        <v>EHPAD BETHESDA CAROLINE</v>
      </c>
      <c r="C5205" t="s">
        <v>62</v>
      </c>
    </row>
    <row r="5206" spans="1:3" x14ac:dyDescent="0.25">
      <c r="A5206" t="str">
        <f>"680003365"</f>
        <v>680003365</v>
      </c>
      <c r="B5206" t="str">
        <f>"EHPAD LES FONTAINES DE LUTTERBACH"</f>
        <v>EHPAD LES FONTAINES DE LUTTERBACH</v>
      </c>
      <c r="C5206" t="s">
        <v>62</v>
      </c>
    </row>
    <row r="5207" spans="1:3" x14ac:dyDescent="0.25">
      <c r="A5207" t="str">
        <f>"680003407"</f>
        <v>680003407</v>
      </c>
      <c r="B5207" t="str">
        <f>"EHPAD LE PARC DES SALINES II"</f>
        <v>EHPAD LE PARC DES SALINES II</v>
      </c>
      <c r="C5207" t="s">
        <v>62</v>
      </c>
    </row>
    <row r="5208" spans="1:3" x14ac:dyDescent="0.25">
      <c r="A5208" t="str">
        <f>"680004090"</f>
        <v>680004090</v>
      </c>
      <c r="B5208" t="str">
        <f>"EHPAD ENSISHEIM"</f>
        <v>EHPAD ENSISHEIM</v>
      </c>
      <c r="C5208" t="s">
        <v>62</v>
      </c>
    </row>
    <row r="5209" spans="1:3" x14ac:dyDescent="0.25">
      <c r="A5209" t="str">
        <f>"680004413"</f>
        <v>680004413</v>
      </c>
      <c r="B5209" t="str">
        <f>"EHPAD LE FOYER DU PARC"</f>
        <v>EHPAD LE FOYER DU PARC</v>
      </c>
      <c r="C5209" t="s">
        <v>62</v>
      </c>
    </row>
    <row r="5210" spans="1:3" x14ac:dyDescent="0.25">
      <c r="A5210" t="str">
        <f>"680004439"</f>
        <v>680004439</v>
      </c>
      <c r="B5210" t="str">
        <f>"EHPAD RESIDENCE SAINTE ANNE"</f>
        <v>EHPAD RESIDENCE SAINTE ANNE</v>
      </c>
      <c r="C5210" t="s">
        <v>62</v>
      </c>
    </row>
    <row r="5211" spans="1:3" x14ac:dyDescent="0.25">
      <c r="A5211" t="str">
        <f>"680004447"</f>
        <v>680004447</v>
      </c>
      <c r="B5211" t="str">
        <f>"EHPAD HOME DU FLORIMONT"</f>
        <v>EHPAD HOME DU FLORIMONT</v>
      </c>
      <c r="C5211" t="s">
        <v>62</v>
      </c>
    </row>
    <row r="5212" spans="1:3" x14ac:dyDescent="0.25">
      <c r="A5212" t="str">
        <f>"680004454"</f>
        <v>680004454</v>
      </c>
      <c r="B5212" t="str">
        <f>"EHPAD OEUVRE SCHYRR"</f>
        <v>EHPAD OEUVRE SCHYRR</v>
      </c>
      <c r="C5212" t="s">
        <v>62</v>
      </c>
    </row>
    <row r="5213" spans="1:3" x14ac:dyDescent="0.25">
      <c r="A5213" t="str">
        <f>"680004470"</f>
        <v>680004470</v>
      </c>
      <c r="B5213" t="str">
        <f>"EHPAD JEAN DOLLFUS"</f>
        <v>EHPAD JEAN DOLLFUS</v>
      </c>
      <c r="C5213" t="s">
        <v>62</v>
      </c>
    </row>
    <row r="5214" spans="1:3" x14ac:dyDescent="0.25">
      <c r="A5214" t="str">
        <f>"680004488"</f>
        <v>680004488</v>
      </c>
      <c r="B5214" t="str">
        <f>"EHPAD LES VIOLETTES"</f>
        <v>EHPAD LES VIOLETTES</v>
      </c>
      <c r="C5214" t="s">
        <v>62</v>
      </c>
    </row>
    <row r="5215" spans="1:3" x14ac:dyDescent="0.25">
      <c r="A5215" t="str">
        <f>"680004496"</f>
        <v>680004496</v>
      </c>
      <c r="B5215" t="str">
        <f>"EHPAD KORIAN LA COTONNADE"</f>
        <v>EHPAD KORIAN LA COTONNADE</v>
      </c>
      <c r="C5215" t="s">
        <v>62</v>
      </c>
    </row>
    <row r="5216" spans="1:3" x14ac:dyDescent="0.25">
      <c r="A5216" t="str">
        <f>"680004793"</f>
        <v>680004793</v>
      </c>
      <c r="B5216" t="str">
        <f>"EHPAD DU CENTRE POUR PERSONNES AGEES"</f>
        <v>EHPAD DU CENTRE POUR PERSONNES AGEES</v>
      </c>
      <c r="C5216" t="s">
        <v>62</v>
      </c>
    </row>
    <row r="5217" spans="1:3" x14ac:dyDescent="0.25">
      <c r="A5217" t="str">
        <f>"680005105"</f>
        <v>680005105</v>
      </c>
      <c r="B5217" t="str">
        <f>"EHPAD MAISON SAINTE FAMILLE"</f>
        <v>EHPAD MAISON SAINTE FAMILLE</v>
      </c>
      <c r="C5217" t="s">
        <v>62</v>
      </c>
    </row>
    <row r="5218" spans="1:3" x14ac:dyDescent="0.25">
      <c r="A5218" t="str">
        <f>"680005238"</f>
        <v>680005238</v>
      </c>
      <c r="B5218" t="str">
        <f>"EHPAD LES ECUREUILS"</f>
        <v>EHPAD LES ECUREUILS</v>
      </c>
      <c r="C5218" t="s">
        <v>62</v>
      </c>
    </row>
    <row r="5219" spans="1:3" x14ac:dyDescent="0.25">
      <c r="A5219" t="str">
        <f>"680010337"</f>
        <v>680010337</v>
      </c>
      <c r="B5219" t="str">
        <f>"EHPAD RESIDENCE LES VOSGES"</f>
        <v>EHPAD RESIDENCE LES VOSGES</v>
      </c>
      <c r="C5219" t="s">
        <v>62</v>
      </c>
    </row>
    <row r="5220" spans="1:3" x14ac:dyDescent="0.25">
      <c r="A5220" t="str">
        <f>"680010865"</f>
        <v>680010865</v>
      </c>
      <c r="B5220" t="str">
        <f>"EHPAD GHRMSA - SITE MOENSCHBERG"</f>
        <v>EHPAD GHRMSA - SITE MOENSCHBERG</v>
      </c>
      <c r="C5220" t="s">
        <v>62</v>
      </c>
    </row>
    <row r="5221" spans="1:3" x14ac:dyDescent="0.25">
      <c r="A5221" t="str">
        <f>"680011236"</f>
        <v>680011236</v>
      </c>
      <c r="B5221" t="str">
        <f>"EHPAD GHRMSA - SITE ALTKIRCH"</f>
        <v>EHPAD GHRMSA - SITE ALTKIRCH</v>
      </c>
      <c r="C5221" t="s">
        <v>62</v>
      </c>
    </row>
    <row r="5222" spans="1:3" x14ac:dyDescent="0.25">
      <c r="A5222" t="str">
        <f>"680011244"</f>
        <v>680011244</v>
      </c>
      <c r="B5222" t="str">
        <f>"EHPAD GHRMSA - SITE CERNAY"</f>
        <v>EHPAD GHRMSA - SITE CERNAY</v>
      </c>
      <c r="C5222" t="s">
        <v>62</v>
      </c>
    </row>
    <row r="5223" spans="1:3" x14ac:dyDescent="0.25">
      <c r="A5223" t="str">
        <f>"680011251"</f>
        <v>680011251</v>
      </c>
      <c r="B5223" t="str">
        <f>"EHPAD CH DE PFASTATT"</f>
        <v>EHPAD CH DE PFASTATT</v>
      </c>
      <c r="C5223" t="s">
        <v>62</v>
      </c>
    </row>
    <row r="5224" spans="1:3" x14ac:dyDescent="0.25">
      <c r="A5224" t="str">
        <f>"680011269"</f>
        <v>680011269</v>
      </c>
      <c r="B5224" t="str">
        <f>"EHPAD GHRMSA - SITE THANN"</f>
        <v>EHPAD GHRMSA - SITE THANN</v>
      </c>
      <c r="C5224" t="s">
        <v>62</v>
      </c>
    </row>
    <row r="5225" spans="1:3" x14ac:dyDescent="0.25">
      <c r="A5225" t="str">
        <f>"680011277"</f>
        <v>680011277</v>
      </c>
      <c r="B5225" t="str">
        <f>"EHPAD DE DANNEMARIE"</f>
        <v>EHPAD DE DANNEMARIE</v>
      </c>
      <c r="C5225" t="s">
        <v>62</v>
      </c>
    </row>
    <row r="5226" spans="1:3" x14ac:dyDescent="0.25">
      <c r="A5226" t="str">
        <f>"680011285"</f>
        <v>680011285</v>
      </c>
      <c r="B5226" t="str">
        <f>"EHPAD MAISON ZIMMERMANN"</f>
        <v>EHPAD MAISON ZIMMERMANN</v>
      </c>
      <c r="C5226" t="s">
        <v>62</v>
      </c>
    </row>
    <row r="5227" spans="1:3" x14ac:dyDescent="0.25">
      <c r="A5227" t="str">
        <f>"680011293"</f>
        <v>680011293</v>
      </c>
      <c r="B5227" t="str">
        <f>"EHPAD RESID DE LA WEISS KAYSERSBERG"</f>
        <v>EHPAD RESID DE LA WEISS KAYSERSBERG</v>
      </c>
      <c r="C5227" t="s">
        <v>62</v>
      </c>
    </row>
    <row r="5228" spans="1:3" x14ac:dyDescent="0.25">
      <c r="A5228" t="str">
        <f>"680011301"</f>
        <v>680011301</v>
      </c>
      <c r="B5228" t="str">
        <f>"EHPAD RM CANTON VERT LAPOUTROIE"</f>
        <v>EHPAD RM CANTON VERT LAPOUTROIE</v>
      </c>
      <c r="C5228" t="s">
        <v>62</v>
      </c>
    </row>
    <row r="5229" spans="1:3" x14ac:dyDescent="0.25">
      <c r="A5229" t="str">
        <f>"680011327"</f>
        <v>680011327</v>
      </c>
      <c r="B5229" t="str">
        <f>"EHPAD LE CASTEL BLANC MASEVAUX"</f>
        <v>EHPAD LE CASTEL BLANC MASEVAUX</v>
      </c>
      <c r="C5229" t="s">
        <v>62</v>
      </c>
    </row>
    <row r="5230" spans="1:3" x14ac:dyDescent="0.25">
      <c r="A5230" t="str">
        <f>"680011335"</f>
        <v>680011335</v>
      </c>
      <c r="B5230" t="str">
        <f>"EHPAD CENTRE HOSPITALIER MUNSTER"</f>
        <v>EHPAD CENTRE HOSPITALIER MUNSTER</v>
      </c>
      <c r="C5230" t="s">
        <v>62</v>
      </c>
    </row>
    <row r="5231" spans="1:3" x14ac:dyDescent="0.25">
      <c r="A5231" t="str">
        <f>"680011343"</f>
        <v>680011343</v>
      </c>
      <c r="B5231" t="str">
        <f>"EHPAD RESIDENCE XAVIER JOURDAIN"</f>
        <v>EHPAD RESIDENCE XAVIER JOURDAIN</v>
      </c>
      <c r="C5231" t="s">
        <v>62</v>
      </c>
    </row>
    <row r="5232" spans="1:3" x14ac:dyDescent="0.25">
      <c r="A5232" t="str">
        <f>"680011350"</f>
        <v>680011350</v>
      </c>
      <c r="B5232" t="str">
        <f>"EHPAD RM CANTON VERT ORBEY"</f>
        <v>EHPAD RM CANTON VERT ORBEY</v>
      </c>
      <c r="C5232" t="s">
        <v>62</v>
      </c>
    </row>
    <row r="5233" spans="1:3" x14ac:dyDescent="0.25">
      <c r="A5233" t="str">
        <f>"680011376"</f>
        <v>680011376</v>
      </c>
      <c r="B5233" t="str">
        <f>"EHPAD HOPITAL DE RIBEAUVILLE"</f>
        <v>EHPAD HOPITAL DE RIBEAUVILLE</v>
      </c>
      <c r="C5233" t="s">
        <v>62</v>
      </c>
    </row>
    <row r="5234" spans="1:3" x14ac:dyDescent="0.25">
      <c r="A5234" t="str">
        <f>"680011384"</f>
        <v>680011384</v>
      </c>
      <c r="B5234" t="str">
        <f>"EHPAD GHRMSA - SITE RIXHEIM"</f>
        <v>EHPAD GHRMSA - SITE RIXHEIM</v>
      </c>
      <c r="C5234" t="s">
        <v>62</v>
      </c>
    </row>
    <row r="5235" spans="1:3" x14ac:dyDescent="0.25">
      <c r="A5235" t="str">
        <f>"680011392"</f>
        <v>680011392</v>
      </c>
      <c r="B5235" t="str">
        <f>"EHPAD MAISON SAINT JACQUES"</f>
        <v>EHPAD MAISON SAINT JACQUES</v>
      </c>
      <c r="C5235" t="s">
        <v>62</v>
      </c>
    </row>
    <row r="5236" spans="1:3" x14ac:dyDescent="0.25">
      <c r="A5236" t="str">
        <f>"680011400"</f>
        <v>680011400</v>
      </c>
      <c r="B5236" t="str">
        <f>"EHPAD GHRMSA - SITE SIERENTZ"</f>
        <v>EHPAD GHRMSA - SITE SIERENTZ</v>
      </c>
      <c r="C5236" t="s">
        <v>62</v>
      </c>
    </row>
    <row r="5237" spans="1:3" x14ac:dyDescent="0.25">
      <c r="A5237" t="str">
        <f>"680011418"</f>
        <v>680011418</v>
      </c>
      <c r="B5237" t="str">
        <f>"EHPAD LES CAPUCINES"</f>
        <v>EHPAD LES CAPUCINES</v>
      </c>
      <c r="C5237" t="s">
        <v>62</v>
      </c>
    </row>
    <row r="5238" spans="1:3" x14ac:dyDescent="0.25">
      <c r="A5238" t="str">
        <f>"680011426"</f>
        <v>680011426</v>
      </c>
      <c r="B5238" t="str">
        <f>"EHPAD HIVA STE MARIE AUX MINES"</f>
        <v>EHPAD HIVA STE MARIE AUX MINES</v>
      </c>
      <c r="C5238" t="s">
        <v>62</v>
      </c>
    </row>
    <row r="5239" spans="1:3" x14ac:dyDescent="0.25">
      <c r="A5239" t="str">
        <f>"680011434"</f>
        <v>680011434</v>
      </c>
      <c r="B5239" t="str">
        <f>"EHPAD DU BRAND"</f>
        <v>EHPAD DU BRAND</v>
      </c>
      <c r="C5239" t="s">
        <v>62</v>
      </c>
    </row>
    <row r="5240" spans="1:3" x14ac:dyDescent="0.25">
      <c r="A5240" t="str">
        <f>"680011442"</f>
        <v>680011442</v>
      </c>
      <c r="B5240" t="str">
        <f>"EHPAD RESIDENCE HENRI JUNGCK"</f>
        <v>EHPAD RESIDENCE HENRI JUNGCK</v>
      </c>
      <c r="C5240" t="s">
        <v>62</v>
      </c>
    </row>
    <row r="5241" spans="1:3" x14ac:dyDescent="0.25">
      <c r="A5241" t="str">
        <f>"680011459"</f>
        <v>680011459</v>
      </c>
      <c r="B5241" t="str">
        <f>"EHPAD HOPITAL SAINT VINCENT"</f>
        <v>EHPAD HOPITAL SAINT VINCENT</v>
      </c>
      <c r="C5241" t="s">
        <v>62</v>
      </c>
    </row>
    <row r="5242" spans="1:3" x14ac:dyDescent="0.25">
      <c r="A5242" t="str">
        <f>"680011772"</f>
        <v>680011772</v>
      </c>
      <c r="B5242" t="str">
        <f>"EHPAD MAISON SAINT ANTOINE"</f>
        <v>EHPAD MAISON SAINT ANTOINE</v>
      </c>
      <c r="C5242" t="s">
        <v>62</v>
      </c>
    </row>
    <row r="5243" spans="1:3" x14ac:dyDescent="0.25">
      <c r="A5243" t="str">
        <f>"680012481"</f>
        <v>680012481</v>
      </c>
      <c r="B5243" t="str">
        <f>"EHPAD DE L'ARC"</f>
        <v>EHPAD DE L'ARC</v>
      </c>
      <c r="C5243" t="s">
        <v>62</v>
      </c>
    </row>
    <row r="5244" spans="1:3" x14ac:dyDescent="0.25">
      <c r="A5244" t="str">
        <f>"680012838"</f>
        <v>680012838</v>
      </c>
      <c r="B5244" t="str">
        <f>"EHPAD LE QUATELBACH"</f>
        <v>EHPAD LE QUATELBACH</v>
      </c>
      <c r="C5244" t="s">
        <v>62</v>
      </c>
    </row>
    <row r="5245" spans="1:3" x14ac:dyDescent="0.25">
      <c r="A5245" t="str">
        <f>"680013679"</f>
        <v>680013679</v>
      </c>
      <c r="B5245" t="str">
        <f>"EHPAD KORIAN LES TROIS SAPINS"</f>
        <v>EHPAD KORIAN LES TROIS SAPINS</v>
      </c>
      <c r="C5245" t="s">
        <v>62</v>
      </c>
    </row>
    <row r="5246" spans="1:3" x14ac:dyDescent="0.25">
      <c r="A5246" t="str">
        <f>"680013695"</f>
        <v>680013695</v>
      </c>
      <c r="B5246" t="str">
        <f>"EHPAD RESIDENCE D'ARGENSON"</f>
        <v>EHPAD RESIDENCE D'ARGENSON</v>
      </c>
      <c r="C5246" t="s">
        <v>62</v>
      </c>
    </row>
    <row r="5247" spans="1:3" x14ac:dyDescent="0.25">
      <c r="A5247" t="str">
        <f>"680014040"</f>
        <v>680014040</v>
      </c>
      <c r="B5247" t="str">
        <f>"EHPAD LES MOLENES"</f>
        <v>EHPAD LES MOLENES</v>
      </c>
      <c r="C5247" t="s">
        <v>62</v>
      </c>
    </row>
    <row r="5248" spans="1:3" x14ac:dyDescent="0.25">
      <c r="A5248" t="str">
        <f>"680014107"</f>
        <v>680014107</v>
      </c>
      <c r="B5248" t="str">
        <f>"EHPAD LA ROSELIÈRE"</f>
        <v>EHPAD LA ROSELIÈRE</v>
      </c>
      <c r="C5248" t="s">
        <v>62</v>
      </c>
    </row>
    <row r="5249" spans="1:3" x14ac:dyDescent="0.25">
      <c r="A5249" t="str">
        <f>"680014149"</f>
        <v>680014149</v>
      </c>
      <c r="B5249" t="str">
        <f>"EHPAD SUR SAINT-LOUIS"</f>
        <v>EHPAD SUR SAINT-LOUIS</v>
      </c>
      <c r="C5249" t="s">
        <v>62</v>
      </c>
    </row>
    <row r="5250" spans="1:3" x14ac:dyDescent="0.25">
      <c r="A5250" t="str">
        <f>"680014438"</f>
        <v>680014438</v>
      </c>
      <c r="B5250" t="str">
        <f>"EHPAD DE LUPPACH"</f>
        <v>EHPAD DE LUPPACH</v>
      </c>
      <c r="C5250" t="s">
        <v>62</v>
      </c>
    </row>
    <row r="5251" spans="1:3" x14ac:dyDescent="0.25">
      <c r="A5251" t="str">
        <f>"680014578"</f>
        <v>680014578</v>
      </c>
      <c r="B5251" t="str">
        <f>"EHPAD KORIAN LA FILATURE"</f>
        <v>EHPAD KORIAN LA FILATURE</v>
      </c>
      <c r="C5251" t="s">
        <v>62</v>
      </c>
    </row>
    <row r="5252" spans="1:3" x14ac:dyDescent="0.25">
      <c r="A5252" t="str">
        <f>"680014859"</f>
        <v>680014859</v>
      </c>
      <c r="B5252" t="str">
        <f>"EHPAD DU DIACONAT COLMAR"</f>
        <v>EHPAD DU DIACONAT COLMAR</v>
      </c>
      <c r="C5252" t="s">
        <v>62</v>
      </c>
    </row>
    <row r="5253" spans="1:3" x14ac:dyDescent="0.25">
      <c r="A5253" t="str">
        <f>"680015369"</f>
        <v>680015369</v>
      </c>
      <c r="B5253" t="str">
        <f>"EHPAD LES FONTAINES DE KEMBS"</f>
        <v>EHPAD LES FONTAINES DE KEMBS</v>
      </c>
      <c r="C5253" t="s">
        <v>62</v>
      </c>
    </row>
    <row r="5254" spans="1:3" x14ac:dyDescent="0.25">
      <c r="A5254" t="str">
        <f>"680015468"</f>
        <v>680015468</v>
      </c>
      <c r="B5254" t="str">
        <f>"EHPAD LES FONTAINES - HORBOURG WIHR"</f>
        <v>EHPAD LES FONTAINES - HORBOURG WIHR</v>
      </c>
      <c r="C5254" t="s">
        <v>62</v>
      </c>
    </row>
    <row r="5255" spans="1:3" x14ac:dyDescent="0.25">
      <c r="A5255" t="str">
        <f>"680016870"</f>
        <v>680016870</v>
      </c>
      <c r="B5255" t="str">
        <f>"EHPAD LES COLLINES"</f>
        <v>EHPAD LES COLLINES</v>
      </c>
      <c r="C5255" t="s">
        <v>62</v>
      </c>
    </row>
    <row r="5256" spans="1:3" x14ac:dyDescent="0.25">
      <c r="A5256" t="str">
        <f>"680017019"</f>
        <v>680017019</v>
      </c>
      <c r="B5256" t="str">
        <f>"EHPAD HEIMELIG SITE SEPPOIS LE BAS"</f>
        <v>EHPAD HEIMELIG SITE SEPPOIS LE BAS</v>
      </c>
      <c r="C5256" t="s">
        <v>62</v>
      </c>
    </row>
    <row r="5257" spans="1:3" x14ac:dyDescent="0.25">
      <c r="A5257" t="str">
        <f>"680017407"</f>
        <v>680017407</v>
      </c>
      <c r="B5257" t="str">
        <f>"EHPAD PERE FALLER"</f>
        <v>EHPAD PERE FALLER</v>
      </c>
      <c r="C5257" t="s">
        <v>62</v>
      </c>
    </row>
    <row r="5258" spans="1:3" x14ac:dyDescent="0.25">
      <c r="A5258" t="str">
        <f>"680017951"</f>
        <v>680017951</v>
      </c>
      <c r="B5258" t="str">
        <f>"EHPAD HEIMELIG SITE WALDIGHOFFEN"</f>
        <v>EHPAD HEIMELIG SITE WALDIGHOFFEN</v>
      </c>
      <c r="C5258" t="s">
        <v>62</v>
      </c>
    </row>
    <row r="5259" spans="1:3" x14ac:dyDescent="0.25">
      <c r="A5259" t="str">
        <f>"680018017"</f>
        <v>680018017</v>
      </c>
      <c r="B5259" t="str">
        <f>"EHPAD LE VILLAGE"</f>
        <v>EHPAD LE VILLAGE</v>
      </c>
      <c r="C5259" t="s">
        <v>62</v>
      </c>
    </row>
    <row r="5260" spans="1:3" x14ac:dyDescent="0.25">
      <c r="A5260" t="str">
        <f>"680018710"</f>
        <v>680018710</v>
      </c>
      <c r="B5260" t="str">
        <f>"EHPAD POLE DE GERONTOLOGIE ST DAMIEN"</f>
        <v>EHPAD POLE DE GERONTOLOGIE ST DAMIEN</v>
      </c>
      <c r="C5260" t="s">
        <v>62</v>
      </c>
    </row>
    <row r="5261" spans="1:3" x14ac:dyDescent="0.25">
      <c r="A5261" t="str">
        <f>"680019015"</f>
        <v>680019015</v>
      </c>
      <c r="B5261" t="str">
        <f>"EHPAD INTERCOMMUNAL LES FRAXINELLES"</f>
        <v>EHPAD INTERCOMMUNAL LES FRAXINELLES</v>
      </c>
      <c r="C5261" t="s">
        <v>62</v>
      </c>
    </row>
    <row r="5262" spans="1:3" x14ac:dyDescent="0.25">
      <c r="A5262" t="str">
        <f>"680019387"</f>
        <v>680019387</v>
      </c>
      <c r="B5262" t="str">
        <f>"EHPAD GHRMSA - SITE HASENRAIN"</f>
        <v>EHPAD GHRMSA - SITE HASENRAIN</v>
      </c>
      <c r="C5262" t="s">
        <v>62</v>
      </c>
    </row>
    <row r="5263" spans="1:3" x14ac:dyDescent="0.25">
      <c r="A5263" t="str">
        <f>"690003702"</f>
        <v>690003702</v>
      </c>
      <c r="B5263" t="str">
        <f>"EHPAD IRENEE"</f>
        <v>EHPAD IRENEE</v>
      </c>
      <c r="C5263" t="s">
        <v>61</v>
      </c>
    </row>
    <row r="5264" spans="1:3" x14ac:dyDescent="0.25">
      <c r="A5264" t="str">
        <f>"690003777"</f>
        <v>690003777</v>
      </c>
      <c r="B5264" t="str">
        <f>"EHPAD SERGENT BERTHET"</f>
        <v>EHPAD SERGENT BERTHET</v>
      </c>
      <c r="C5264" t="s">
        <v>61</v>
      </c>
    </row>
    <row r="5265" spans="1:3" x14ac:dyDescent="0.25">
      <c r="A5265" t="str">
        <f>"690003983"</f>
        <v>690003983</v>
      </c>
      <c r="B5265" t="str">
        <f>"RESIDENCE SAINTE ELISABETH"</f>
        <v>RESIDENCE SAINTE ELISABETH</v>
      </c>
      <c r="C5265" t="s">
        <v>61</v>
      </c>
    </row>
    <row r="5266" spans="1:3" x14ac:dyDescent="0.25">
      <c r="A5266" t="str">
        <f>"690006937"</f>
        <v>690006937</v>
      </c>
      <c r="B5266" t="str">
        <f>"EHPAD LE 6EME"</f>
        <v>EHPAD LE 6EME</v>
      </c>
      <c r="C5266" t="s">
        <v>61</v>
      </c>
    </row>
    <row r="5267" spans="1:3" x14ac:dyDescent="0.25">
      <c r="A5267" t="str">
        <f>"690007018"</f>
        <v>690007018</v>
      </c>
      <c r="B5267" t="str">
        <f>"EHPAD RESIDENCE SAINT EXUPERY"</f>
        <v>EHPAD RESIDENCE SAINT EXUPERY</v>
      </c>
      <c r="C5267" t="s">
        <v>61</v>
      </c>
    </row>
    <row r="5268" spans="1:3" x14ac:dyDescent="0.25">
      <c r="A5268" t="str">
        <f>"690007307"</f>
        <v>690007307</v>
      </c>
      <c r="B5268" t="str">
        <f>"EHPAD LE DOMAINE DE LA CHAUX"</f>
        <v>EHPAD LE DOMAINE DE LA CHAUX</v>
      </c>
      <c r="C5268" t="s">
        <v>61</v>
      </c>
    </row>
    <row r="5269" spans="1:3" x14ac:dyDescent="0.25">
      <c r="A5269" t="str">
        <f>"690007422"</f>
        <v>690007422</v>
      </c>
      <c r="B5269" t="str">
        <f>"EHPAD HOP. GERIAT. VAL D'AZERGUES"</f>
        <v>EHPAD HOP. GERIAT. VAL D'AZERGUES</v>
      </c>
      <c r="C5269" t="s">
        <v>61</v>
      </c>
    </row>
    <row r="5270" spans="1:3" x14ac:dyDescent="0.25">
      <c r="A5270" t="str">
        <f>"690009329"</f>
        <v>690009329</v>
      </c>
      <c r="B5270" t="str">
        <f>"EHPAD RESIDENCE DU CHATEAU"</f>
        <v>EHPAD RESIDENCE DU CHATEAU</v>
      </c>
      <c r="C5270" t="s">
        <v>61</v>
      </c>
    </row>
    <row r="5271" spans="1:3" x14ac:dyDescent="0.25">
      <c r="A5271" t="str">
        <f>"690010509"</f>
        <v>690010509</v>
      </c>
      <c r="B5271" t="str">
        <f>"EHPAD THERESE COUDERC"</f>
        <v>EHPAD THERESE COUDERC</v>
      </c>
      <c r="C5271" t="s">
        <v>61</v>
      </c>
    </row>
    <row r="5272" spans="1:3" x14ac:dyDescent="0.25">
      <c r="A5272" t="str">
        <f>"690011978"</f>
        <v>690011978</v>
      </c>
      <c r="B5272" t="str">
        <f>"EHPAD MARCELLIN CHAMPAGNAT- LE MONTET"</f>
        <v>EHPAD MARCELLIN CHAMPAGNAT- LE MONTET</v>
      </c>
      <c r="C5272" t="s">
        <v>61</v>
      </c>
    </row>
    <row r="5273" spans="1:3" x14ac:dyDescent="0.25">
      <c r="A5273" t="str">
        <f>"690012968"</f>
        <v>690012968</v>
      </c>
      <c r="B5273" t="str">
        <f>"EHPAD MARIUS BERTRAND"</f>
        <v>EHPAD MARIUS BERTRAND</v>
      </c>
      <c r="C5273" t="s">
        <v>61</v>
      </c>
    </row>
    <row r="5274" spans="1:3" x14ac:dyDescent="0.25">
      <c r="A5274" t="str">
        <f>"690015359"</f>
        <v>690015359</v>
      </c>
      <c r="B5274" t="str">
        <f>"EHPAD LE GAREIZIN"</f>
        <v>EHPAD LE GAREIZIN</v>
      </c>
      <c r="C5274" t="s">
        <v>61</v>
      </c>
    </row>
    <row r="5275" spans="1:3" x14ac:dyDescent="0.25">
      <c r="A5275" t="str">
        <f>"690017009"</f>
        <v>690017009</v>
      </c>
      <c r="B5275" t="str">
        <f>"ACCUEIL TEMPORAIRE DE BETHANIE"</f>
        <v>ACCUEIL TEMPORAIRE DE BETHANIE</v>
      </c>
      <c r="C5275" t="s">
        <v>61</v>
      </c>
    </row>
    <row r="5276" spans="1:3" x14ac:dyDescent="0.25">
      <c r="A5276" t="str">
        <f>"690018379"</f>
        <v>690018379</v>
      </c>
      <c r="B5276" t="str">
        <f>"EHPAD DUQUESNE"</f>
        <v>EHPAD DUQUESNE</v>
      </c>
      <c r="C5276" t="s">
        <v>61</v>
      </c>
    </row>
    <row r="5277" spans="1:3" x14ac:dyDescent="0.25">
      <c r="A5277" t="str">
        <f>"690022835"</f>
        <v>690022835</v>
      </c>
      <c r="B5277" t="str">
        <f>"EHPAD CAMILLE CLAUDEL"</f>
        <v>EHPAD CAMILLE CLAUDEL</v>
      </c>
      <c r="C5277" t="s">
        <v>61</v>
      </c>
    </row>
    <row r="5278" spans="1:3" x14ac:dyDescent="0.25">
      <c r="A5278" t="str">
        <f>"690023015"</f>
        <v>690023015</v>
      </c>
      <c r="B5278" t="str">
        <f>"EHPAD LA SOLIDAGE"</f>
        <v>EHPAD LA SOLIDAGE</v>
      </c>
      <c r="C5278" t="s">
        <v>61</v>
      </c>
    </row>
    <row r="5279" spans="1:3" x14ac:dyDescent="0.25">
      <c r="A5279" t="str">
        <f>"690023593"</f>
        <v>690023593</v>
      </c>
      <c r="B5279" t="str">
        <f>"EHPAD CHARLES TRENET"</f>
        <v>EHPAD CHARLES TRENET</v>
      </c>
      <c r="C5279" t="s">
        <v>61</v>
      </c>
    </row>
    <row r="5280" spans="1:3" x14ac:dyDescent="0.25">
      <c r="A5280" t="str">
        <f>"690023809"</f>
        <v>690023809</v>
      </c>
      <c r="B5280" t="str">
        <f>"EHPAD CLAUDE BERNARD"</f>
        <v>EHPAD CLAUDE BERNARD</v>
      </c>
      <c r="C5280" t="s">
        <v>61</v>
      </c>
    </row>
    <row r="5281" spans="1:3" x14ac:dyDescent="0.25">
      <c r="A5281" t="str">
        <f>"690024898"</f>
        <v>690024898</v>
      </c>
      <c r="B5281" t="str">
        <f>"EHPAD SAINT-FRANCOIS D'ASSISE"</f>
        <v>EHPAD SAINT-FRANCOIS D'ASSISE</v>
      </c>
      <c r="C5281" t="s">
        <v>61</v>
      </c>
    </row>
    <row r="5282" spans="1:3" x14ac:dyDescent="0.25">
      <c r="A5282" t="str">
        <f>"690025069"</f>
        <v>690025069</v>
      </c>
      <c r="B5282" t="str">
        <f>"EHPAD ELOISE"</f>
        <v>EHPAD ELOISE</v>
      </c>
      <c r="C5282" t="s">
        <v>61</v>
      </c>
    </row>
    <row r="5283" spans="1:3" x14ac:dyDescent="0.25">
      <c r="A5283" t="str">
        <f>"690025119"</f>
        <v>690025119</v>
      </c>
      <c r="B5283" t="str">
        <f>"EHPAD LES SOLEILLADES"</f>
        <v>EHPAD LES SOLEILLADES</v>
      </c>
      <c r="C5283" t="s">
        <v>61</v>
      </c>
    </row>
    <row r="5284" spans="1:3" x14ac:dyDescent="0.25">
      <c r="A5284" t="str">
        <f>"690025143"</f>
        <v>690025143</v>
      </c>
      <c r="B5284" t="str">
        <f>"EHPAD L'ALOUETTE"</f>
        <v>EHPAD L'ALOUETTE</v>
      </c>
      <c r="C5284" t="s">
        <v>61</v>
      </c>
    </row>
    <row r="5285" spans="1:3" x14ac:dyDescent="0.25">
      <c r="A5285" t="str">
        <f>"690025192"</f>
        <v>690025192</v>
      </c>
      <c r="B5285" t="str">
        <f>"EHPAD ACCUEIL DES BUERS"</f>
        <v>EHPAD ACCUEIL DES BUERS</v>
      </c>
      <c r="C5285" t="s">
        <v>61</v>
      </c>
    </row>
    <row r="5286" spans="1:3" x14ac:dyDescent="0.25">
      <c r="A5286" t="str">
        <f>"690025218"</f>
        <v>690025218</v>
      </c>
      <c r="B5286" t="str">
        <f>"EHPAD JOSEPH FOREST"</f>
        <v>EHPAD JOSEPH FOREST</v>
      </c>
      <c r="C5286" t="s">
        <v>61</v>
      </c>
    </row>
    <row r="5287" spans="1:3" x14ac:dyDescent="0.25">
      <c r="A5287" t="str">
        <f>"690025564"</f>
        <v>690025564</v>
      </c>
      <c r="B5287" t="str">
        <f>"EHPAD ATLANTIS"</f>
        <v>EHPAD ATLANTIS</v>
      </c>
      <c r="C5287" t="s">
        <v>61</v>
      </c>
    </row>
    <row r="5288" spans="1:3" x14ac:dyDescent="0.25">
      <c r="A5288" t="str">
        <f>"690025663"</f>
        <v>690025663</v>
      </c>
      <c r="B5288" t="str">
        <f>"EHPAD RESIDENCE DU CERCLE"</f>
        <v>EHPAD RESIDENCE DU CERCLE</v>
      </c>
      <c r="C5288" t="s">
        <v>61</v>
      </c>
    </row>
    <row r="5289" spans="1:3" x14ac:dyDescent="0.25">
      <c r="A5289" t="str">
        <f>"690027248"</f>
        <v>690027248</v>
      </c>
      <c r="B5289" t="str">
        <f>"EHPAD LES MOUSSIERES"</f>
        <v>EHPAD LES MOUSSIERES</v>
      </c>
      <c r="C5289" t="s">
        <v>61</v>
      </c>
    </row>
    <row r="5290" spans="1:3" x14ac:dyDescent="0.25">
      <c r="A5290" t="str">
        <f>"690027388"</f>
        <v>690027388</v>
      </c>
      <c r="B5290" t="str">
        <f>"EHPAD BELLECOMBE"</f>
        <v>EHPAD BELLECOMBE</v>
      </c>
      <c r="C5290" t="s">
        <v>61</v>
      </c>
    </row>
    <row r="5291" spans="1:3" x14ac:dyDescent="0.25">
      <c r="A5291" t="str">
        <f>"690027438"</f>
        <v>690027438</v>
      </c>
      <c r="B5291" t="str">
        <f>"EHPAD LES HIBISCUS"</f>
        <v>EHPAD LES HIBISCUS</v>
      </c>
      <c r="C5291" t="s">
        <v>61</v>
      </c>
    </row>
    <row r="5292" spans="1:3" x14ac:dyDescent="0.25">
      <c r="A5292" t="str">
        <f>"690028915"</f>
        <v>690028915</v>
      </c>
      <c r="B5292" t="str">
        <f>"EHPAD LE VAL D'OR"</f>
        <v>EHPAD LE VAL D'OR</v>
      </c>
      <c r="C5292" t="s">
        <v>61</v>
      </c>
    </row>
    <row r="5293" spans="1:3" x14ac:dyDescent="0.25">
      <c r="A5293" t="str">
        <f>"690029590"</f>
        <v>690029590</v>
      </c>
      <c r="B5293" t="str">
        <f>"EHPAD KORIAN GERLAND"</f>
        <v>EHPAD KORIAN GERLAND</v>
      </c>
      <c r="C5293" t="s">
        <v>61</v>
      </c>
    </row>
    <row r="5294" spans="1:3" x14ac:dyDescent="0.25">
      <c r="A5294" t="str">
        <f>"690030440"</f>
        <v>690030440</v>
      </c>
      <c r="B5294" t="str">
        <f>"EHPAD BAYARD BEL ÂGE"</f>
        <v>EHPAD BAYARD BEL ÂGE</v>
      </c>
      <c r="C5294" t="s">
        <v>61</v>
      </c>
    </row>
    <row r="5295" spans="1:3" x14ac:dyDescent="0.25">
      <c r="A5295" t="str">
        <f>"690031539"</f>
        <v>690031539</v>
      </c>
      <c r="B5295" t="str">
        <f>"EHPAD LA MAISON DU TULIPIER"</f>
        <v>EHPAD LA MAISON DU TULIPIER</v>
      </c>
      <c r="C5295" t="s">
        <v>61</v>
      </c>
    </row>
    <row r="5296" spans="1:3" x14ac:dyDescent="0.25">
      <c r="A5296" t="str">
        <f>"690031737"</f>
        <v>690031737</v>
      </c>
      <c r="B5296" t="str">
        <f>"EHPAD RESIDENCE DES CANUTS"</f>
        <v>EHPAD RESIDENCE DES CANUTS</v>
      </c>
      <c r="C5296" t="s">
        <v>61</v>
      </c>
    </row>
    <row r="5297" spans="1:3" x14ac:dyDescent="0.25">
      <c r="A5297" t="str">
        <f>"690031869"</f>
        <v>690031869</v>
      </c>
      <c r="B5297" t="str">
        <f>"EHPAD DE L'HOPITAL DE L'ARBRESLE"</f>
        <v>EHPAD DE L'HOPITAL DE L'ARBRESLE</v>
      </c>
      <c r="C5297" t="s">
        <v>61</v>
      </c>
    </row>
    <row r="5298" spans="1:3" x14ac:dyDescent="0.25">
      <c r="A5298" t="str">
        <f>"690031877"</f>
        <v>690031877</v>
      </c>
      <c r="B5298" t="str">
        <f>"EHPAD LES ALTHEAS"</f>
        <v>EHPAD LES ALTHEAS</v>
      </c>
      <c r="C5298" t="s">
        <v>61</v>
      </c>
    </row>
    <row r="5299" spans="1:3" x14ac:dyDescent="0.25">
      <c r="A5299" t="str">
        <f>"690031885"</f>
        <v>690031885</v>
      </c>
      <c r="B5299" t="str">
        <f>"EHPAD RESIDENCE PIERRE DE BEAUJEU"</f>
        <v>EHPAD RESIDENCE PIERRE DE BEAUJEU</v>
      </c>
      <c r="C5299" t="s">
        <v>61</v>
      </c>
    </row>
    <row r="5300" spans="1:3" x14ac:dyDescent="0.25">
      <c r="A5300" t="str">
        <f>"690031935"</f>
        <v>690031935</v>
      </c>
      <c r="B5300" t="str">
        <f>"EHPAD DU CH DE CONDRIEU G.MONTCHARMONT"</f>
        <v>EHPAD DU CH DE CONDRIEU G.MONTCHARMONT</v>
      </c>
      <c r="C5300" t="s">
        <v>61</v>
      </c>
    </row>
    <row r="5301" spans="1:3" x14ac:dyDescent="0.25">
      <c r="A5301" t="str">
        <f>"690033964"</f>
        <v>690033964</v>
      </c>
      <c r="B5301" t="str">
        <f>"EHPAD PARC BROSSET"</f>
        <v>EHPAD PARC BROSSET</v>
      </c>
      <c r="C5301" t="s">
        <v>61</v>
      </c>
    </row>
    <row r="5302" spans="1:3" x14ac:dyDescent="0.25">
      <c r="A5302" t="str">
        <f>"690034251"</f>
        <v>690034251</v>
      </c>
      <c r="B5302" t="str">
        <f>"EHPAD LES MAGNOLIAS"</f>
        <v>EHPAD LES MAGNOLIAS</v>
      </c>
      <c r="C5302" t="s">
        <v>61</v>
      </c>
    </row>
    <row r="5303" spans="1:3" x14ac:dyDescent="0.25">
      <c r="A5303" t="str">
        <f>"690034491"</f>
        <v>690034491</v>
      </c>
      <c r="B5303" t="str">
        <f>"EHPAD PAUL ELUARD"</f>
        <v>EHPAD PAUL ELUARD</v>
      </c>
      <c r="C5303" t="s">
        <v>61</v>
      </c>
    </row>
    <row r="5304" spans="1:3" x14ac:dyDescent="0.25">
      <c r="A5304" t="str">
        <f>"690034798"</f>
        <v>690034798</v>
      </c>
      <c r="B5304" t="str">
        <f>"EHPAD LE HAMEAU DE LA SOURCE"</f>
        <v>EHPAD LE HAMEAU DE LA SOURCE</v>
      </c>
      <c r="C5304" t="s">
        <v>61</v>
      </c>
    </row>
    <row r="5305" spans="1:3" x14ac:dyDescent="0.25">
      <c r="A5305" t="str">
        <f>"690039318"</f>
        <v>690039318</v>
      </c>
      <c r="B5305" t="str">
        <f>"EHPAD CONSTANT"</f>
        <v>EHPAD CONSTANT</v>
      </c>
      <c r="C5305" t="s">
        <v>61</v>
      </c>
    </row>
    <row r="5306" spans="1:3" x14ac:dyDescent="0.25">
      <c r="A5306" t="str">
        <f>"690039771"</f>
        <v>690039771</v>
      </c>
      <c r="B5306" t="str">
        <f>"EHPAD LES ALLOBROGES"</f>
        <v>EHPAD LES ALLOBROGES</v>
      </c>
      <c r="C5306" t="s">
        <v>61</v>
      </c>
    </row>
    <row r="5307" spans="1:3" x14ac:dyDescent="0.25">
      <c r="A5307" t="str">
        <f>"690040480"</f>
        <v>690040480</v>
      </c>
      <c r="B5307" t="str">
        <f>"ACCUEIL SEQUENTIEL CAMILLE CLAUDEL"</f>
        <v>ACCUEIL SEQUENTIEL CAMILLE CLAUDEL</v>
      </c>
      <c r="C5307" t="s">
        <v>61</v>
      </c>
    </row>
    <row r="5308" spans="1:3" x14ac:dyDescent="0.25">
      <c r="A5308" t="str">
        <f>"690041074"</f>
        <v>690041074</v>
      </c>
      <c r="B5308" t="str">
        <f>"EHPAD TETE D'OR"</f>
        <v>EHPAD TETE D'OR</v>
      </c>
      <c r="C5308" t="s">
        <v>61</v>
      </c>
    </row>
    <row r="5309" spans="1:3" x14ac:dyDescent="0.25">
      <c r="A5309" t="str">
        <f>"690781521"</f>
        <v>690781521</v>
      </c>
      <c r="B5309" t="str">
        <f>"EHPAD DU BON SECOURS DE TROYES"</f>
        <v>EHPAD DU BON SECOURS DE TROYES</v>
      </c>
      <c r="C5309" t="s">
        <v>61</v>
      </c>
    </row>
    <row r="5310" spans="1:3" x14ac:dyDescent="0.25">
      <c r="A5310" t="str">
        <f>"690781604"</f>
        <v>690781604</v>
      </c>
      <c r="B5310" t="str">
        <f>"EHPAD MA DEMEURE"</f>
        <v>EHPAD MA DEMEURE</v>
      </c>
      <c r="C5310" t="s">
        <v>61</v>
      </c>
    </row>
    <row r="5311" spans="1:3" x14ac:dyDescent="0.25">
      <c r="A5311" t="str">
        <f>"690781786"</f>
        <v>690781786</v>
      </c>
      <c r="B5311" t="str">
        <f>"EHPAD DE LA SALETTE-BULLY"</f>
        <v>EHPAD DE LA SALETTE-BULLY</v>
      </c>
      <c r="C5311" t="s">
        <v>61</v>
      </c>
    </row>
    <row r="5312" spans="1:3" x14ac:dyDescent="0.25">
      <c r="A5312" t="str">
        <f>"690782644"</f>
        <v>690782644</v>
      </c>
      <c r="B5312" t="str">
        <f>"EHPAD LES HAUTS DE BRIANNE"</f>
        <v>EHPAD LES HAUTS DE BRIANNE</v>
      </c>
      <c r="C5312" t="s">
        <v>61</v>
      </c>
    </row>
    <row r="5313" spans="1:3" x14ac:dyDescent="0.25">
      <c r="A5313" t="str">
        <f>"690782867"</f>
        <v>690782867</v>
      </c>
      <c r="B5313" t="str">
        <f>"RESIDENCE SAINT-VINCENT"</f>
        <v>RESIDENCE SAINT-VINCENT</v>
      </c>
      <c r="C5313" t="s">
        <v>61</v>
      </c>
    </row>
    <row r="5314" spans="1:3" x14ac:dyDescent="0.25">
      <c r="A5314" t="str">
        <f>"690782933"</f>
        <v>690782933</v>
      </c>
      <c r="B5314" t="str">
        <f>"EHPAD COURAJOD"</f>
        <v>EHPAD COURAJOD</v>
      </c>
      <c r="C5314" t="s">
        <v>61</v>
      </c>
    </row>
    <row r="5315" spans="1:3" x14ac:dyDescent="0.25">
      <c r="A5315" t="str">
        <f>"690782941"</f>
        <v>690782941</v>
      </c>
      <c r="B5315" t="str">
        <f>"EHPAD LES LISERONS"</f>
        <v>EHPAD LES LISERONS</v>
      </c>
      <c r="C5315" t="s">
        <v>61</v>
      </c>
    </row>
    <row r="5316" spans="1:3" x14ac:dyDescent="0.25">
      <c r="A5316" t="str">
        <f>"690782966"</f>
        <v>690782966</v>
      </c>
      <c r="B5316" t="str">
        <f>"EHPAD LA CHENERAIE"</f>
        <v>EHPAD LA CHENERAIE</v>
      </c>
      <c r="C5316" t="s">
        <v>61</v>
      </c>
    </row>
    <row r="5317" spans="1:3" x14ac:dyDescent="0.25">
      <c r="A5317" t="str">
        <f>"690782982"</f>
        <v>690782982</v>
      </c>
      <c r="B5317" t="str">
        <f>"EHPAD PUBLIC DE MORNANT"</f>
        <v>EHPAD PUBLIC DE MORNANT</v>
      </c>
      <c r="C5317" t="s">
        <v>61</v>
      </c>
    </row>
    <row r="5318" spans="1:3" x14ac:dyDescent="0.25">
      <c r="A5318" t="str">
        <f>"690782990"</f>
        <v>690782990</v>
      </c>
      <c r="B5318" t="str">
        <f>"EHPAD JEAN VILLARD"</f>
        <v>EHPAD JEAN VILLARD</v>
      </c>
      <c r="C5318" t="s">
        <v>61</v>
      </c>
    </row>
    <row r="5319" spans="1:3" x14ac:dyDescent="0.25">
      <c r="A5319" t="str">
        <f>"690783006"</f>
        <v>690783006</v>
      </c>
      <c r="B5319" t="str">
        <f>"EHPAD JEAN COURJON"</f>
        <v>EHPAD JEAN COURJON</v>
      </c>
      <c r="C5319" t="s">
        <v>61</v>
      </c>
    </row>
    <row r="5320" spans="1:3" x14ac:dyDescent="0.25">
      <c r="A5320" t="str">
        <f>"690785423"</f>
        <v>690785423</v>
      </c>
      <c r="B5320" t="str">
        <f>"EHPAD CHATEAU DE MESSIMIEUX"</f>
        <v>EHPAD CHATEAU DE MESSIMIEUX</v>
      </c>
      <c r="C5320" t="s">
        <v>61</v>
      </c>
    </row>
    <row r="5321" spans="1:3" x14ac:dyDescent="0.25">
      <c r="A5321" t="str">
        <f>"690785431"</f>
        <v>690785431</v>
      </c>
      <c r="B5321" t="str">
        <f>"EHPAD LE MANOIR"</f>
        <v>EHPAD LE MANOIR</v>
      </c>
      <c r="C5321" t="s">
        <v>61</v>
      </c>
    </row>
    <row r="5322" spans="1:3" x14ac:dyDescent="0.25">
      <c r="A5322" t="str">
        <f>"690785449"</f>
        <v>690785449</v>
      </c>
      <c r="B5322" t="str">
        <f>"EHPAD DE LA ROCHETTE"</f>
        <v>EHPAD DE LA ROCHETTE</v>
      </c>
      <c r="C5322" t="s">
        <v>61</v>
      </c>
    </row>
    <row r="5323" spans="1:3" x14ac:dyDescent="0.25">
      <c r="A5323" t="str">
        <f>"690785464"</f>
        <v>690785464</v>
      </c>
      <c r="B5323" t="str">
        <f>"EHPAD DOROTHEE PETIT"</f>
        <v>EHPAD DOROTHEE PETIT</v>
      </c>
      <c r="C5323" t="s">
        <v>61</v>
      </c>
    </row>
    <row r="5324" spans="1:3" x14ac:dyDescent="0.25">
      <c r="A5324" t="str">
        <f>"690785498"</f>
        <v>690785498</v>
      </c>
      <c r="B5324" t="str">
        <f>"EHPAD SAINT-CAMILLE"</f>
        <v>EHPAD SAINT-CAMILLE</v>
      </c>
      <c r="C5324" t="s">
        <v>61</v>
      </c>
    </row>
    <row r="5325" spans="1:3" x14ac:dyDescent="0.25">
      <c r="A5325" t="str">
        <f>"690785514"</f>
        <v>690785514</v>
      </c>
      <c r="B5325" t="str">
        <f>"EHPAD LES GIRONDINES"</f>
        <v>EHPAD LES GIRONDINES</v>
      </c>
      <c r="C5325" t="s">
        <v>61</v>
      </c>
    </row>
    <row r="5326" spans="1:3" x14ac:dyDescent="0.25">
      <c r="A5326" t="str">
        <f>"690785522"</f>
        <v>690785522</v>
      </c>
      <c r="B5326" t="str">
        <f>"EHPAD ALBERT MORLOT"</f>
        <v>EHPAD ALBERT MORLOT</v>
      </c>
      <c r="C5326" t="s">
        <v>61</v>
      </c>
    </row>
    <row r="5327" spans="1:3" x14ac:dyDescent="0.25">
      <c r="A5327" t="str">
        <f>"690785530"</f>
        <v>690785530</v>
      </c>
      <c r="B5327" t="str">
        <f>"EHPAD LA CLAIRIERE"</f>
        <v>EHPAD LA CLAIRIERE</v>
      </c>
      <c r="C5327" t="s">
        <v>61</v>
      </c>
    </row>
    <row r="5328" spans="1:3" x14ac:dyDescent="0.25">
      <c r="A5328" t="str">
        <f>"690785548"</f>
        <v>690785548</v>
      </c>
      <c r="B5328" t="str">
        <f>"EHPAD ST-FRANCOIS-D'ASSISE"</f>
        <v>EHPAD ST-FRANCOIS-D'ASSISE</v>
      </c>
      <c r="C5328" t="s">
        <v>61</v>
      </c>
    </row>
    <row r="5329" spans="1:3" x14ac:dyDescent="0.25">
      <c r="A5329" t="str">
        <f>"690785555"</f>
        <v>690785555</v>
      </c>
      <c r="B5329" t="str">
        <f>"EHPAD NOTRE DAME DE LA SALETTE"</f>
        <v>EHPAD NOTRE DAME DE LA SALETTE</v>
      </c>
      <c r="C5329" t="s">
        <v>61</v>
      </c>
    </row>
    <row r="5330" spans="1:3" x14ac:dyDescent="0.25">
      <c r="A5330" t="str">
        <f>"690785563"</f>
        <v>690785563</v>
      </c>
      <c r="B5330" t="str">
        <f>"EHPAD L'ARC-EN-CIEL"</f>
        <v>EHPAD L'ARC-EN-CIEL</v>
      </c>
      <c r="C5330" t="s">
        <v>61</v>
      </c>
    </row>
    <row r="5331" spans="1:3" x14ac:dyDescent="0.25">
      <c r="A5331" t="str">
        <f>"690785571"</f>
        <v>690785571</v>
      </c>
      <c r="B5331" t="str">
        <f>"EHPAD CHATEAUVIEUX"</f>
        <v>EHPAD CHATEAUVIEUX</v>
      </c>
      <c r="C5331" t="s">
        <v>61</v>
      </c>
    </row>
    <row r="5332" spans="1:3" x14ac:dyDescent="0.25">
      <c r="A5332" t="str">
        <f>"690785589"</f>
        <v>690785589</v>
      </c>
      <c r="B5332" t="str">
        <f>"EHPAD PROTESTANTE DETHEL"</f>
        <v>EHPAD PROTESTANTE DETHEL</v>
      </c>
      <c r="C5332" t="s">
        <v>61</v>
      </c>
    </row>
    <row r="5333" spans="1:3" x14ac:dyDescent="0.25">
      <c r="A5333" t="str">
        <f>"690785605"</f>
        <v>690785605</v>
      </c>
      <c r="B5333" t="str">
        <f>"EHPAD SAINTE-ANNE / BRIGNAIS"</f>
        <v>EHPAD SAINTE-ANNE / BRIGNAIS</v>
      </c>
      <c r="C5333" t="s">
        <v>61</v>
      </c>
    </row>
    <row r="5334" spans="1:3" x14ac:dyDescent="0.25">
      <c r="A5334" t="str">
        <f>"690785621"</f>
        <v>690785621</v>
      </c>
      <c r="B5334" t="str">
        <f>"EHPAD DU CERCLE DE LA CARETTE"</f>
        <v>EHPAD DU CERCLE DE LA CARETTE</v>
      </c>
      <c r="C5334" t="s">
        <v>61</v>
      </c>
    </row>
    <row r="5335" spans="1:3" x14ac:dyDescent="0.25">
      <c r="A5335" t="str">
        <f>"690785647"</f>
        <v>690785647</v>
      </c>
      <c r="B5335" t="str">
        <f>"EHPAD SAINT-RAPHAEL"</f>
        <v>EHPAD SAINT-RAPHAEL</v>
      </c>
      <c r="C5335" t="s">
        <v>61</v>
      </c>
    </row>
    <row r="5336" spans="1:3" x14ac:dyDescent="0.25">
      <c r="A5336" t="str">
        <f>"690785662"</f>
        <v>690785662</v>
      </c>
      <c r="B5336" t="str">
        <f>"EHPAD LOUISE-THERESE"</f>
        <v>EHPAD LOUISE-THERESE</v>
      </c>
      <c r="C5336" t="s">
        <v>61</v>
      </c>
    </row>
    <row r="5337" spans="1:3" x14ac:dyDescent="0.25">
      <c r="A5337" t="str">
        <f>"690785670"</f>
        <v>690785670</v>
      </c>
      <c r="B5337" t="str">
        <f>"EHPAD LA PASSERELLE"</f>
        <v>EHPAD LA PASSERELLE</v>
      </c>
      <c r="C5337" t="s">
        <v>61</v>
      </c>
    </row>
    <row r="5338" spans="1:3" x14ac:dyDescent="0.25">
      <c r="A5338" t="str">
        <f>"690785688"</f>
        <v>690785688</v>
      </c>
      <c r="B5338" t="str">
        <f>"EHPAD SAINT-CHARLES"</f>
        <v>EHPAD SAINT-CHARLES</v>
      </c>
      <c r="C5338" t="s">
        <v>61</v>
      </c>
    </row>
    <row r="5339" spans="1:3" x14ac:dyDescent="0.25">
      <c r="A5339" t="str">
        <f>"690785712"</f>
        <v>690785712</v>
      </c>
      <c r="B5339" t="str">
        <f>"EHPAD MA MAISON VILLETTE"</f>
        <v>EHPAD MA MAISON VILLETTE</v>
      </c>
      <c r="C5339" t="s">
        <v>61</v>
      </c>
    </row>
    <row r="5340" spans="1:3" x14ac:dyDescent="0.25">
      <c r="A5340" t="str">
        <f>"690785738"</f>
        <v>690785738</v>
      </c>
      <c r="B5340" t="str">
        <f>"EHPAD MA MAISON LYON 4"</f>
        <v>EHPAD MA MAISON LYON 4</v>
      </c>
      <c r="C5340" t="s">
        <v>61</v>
      </c>
    </row>
    <row r="5341" spans="1:3" x14ac:dyDescent="0.25">
      <c r="A5341" t="str">
        <f>"690785779"</f>
        <v>690785779</v>
      </c>
      <c r="B5341" t="str">
        <f>"EHPAD CARDINAL MAURIN"</f>
        <v>EHPAD CARDINAL MAURIN</v>
      </c>
      <c r="C5341" t="s">
        <v>61</v>
      </c>
    </row>
    <row r="5342" spans="1:3" x14ac:dyDescent="0.25">
      <c r="A5342" t="str">
        <f>"690785787"</f>
        <v>690785787</v>
      </c>
      <c r="B5342" t="str">
        <f>"EHPAD BON SECOURS"</f>
        <v>EHPAD BON SECOURS</v>
      </c>
      <c r="C5342" t="s">
        <v>61</v>
      </c>
    </row>
    <row r="5343" spans="1:3" x14ac:dyDescent="0.25">
      <c r="A5343" t="str">
        <f>"690785811"</f>
        <v>690785811</v>
      </c>
      <c r="B5343" t="str">
        <f>"EHPAD ST-JOSEPH"</f>
        <v>EHPAD ST-JOSEPH</v>
      </c>
      <c r="C5343" t="s">
        <v>61</v>
      </c>
    </row>
    <row r="5344" spans="1:3" x14ac:dyDescent="0.25">
      <c r="A5344" t="str">
        <f>"690785829"</f>
        <v>690785829</v>
      </c>
      <c r="B5344" t="str">
        <f>"EHPAD KORIAN SAINT-FRANCOIS"</f>
        <v>EHPAD KORIAN SAINT-FRANCOIS</v>
      </c>
      <c r="C5344" t="s">
        <v>61</v>
      </c>
    </row>
    <row r="5345" spans="1:3" x14ac:dyDescent="0.25">
      <c r="A5345" t="str">
        <f>"690785837"</f>
        <v>690785837</v>
      </c>
      <c r="B5345" t="str">
        <f>"EHPAD MONTAIGU"</f>
        <v>EHPAD MONTAIGU</v>
      </c>
      <c r="C5345" t="s">
        <v>61</v>
      </c>
    </row>
    <row r="5346" spans="1:3" x14ac:dyDescent="0.25">
      <c r="A5346" t="str">
        <f>"690787346"</f>
        <v>690787346</v>
      </c>
      <c r="B5346" t="str">
        <f>"HNO EHPAD LA CLAIRIERE"</f>
        <v>HNO EHPAD LA CLAIRIERE</v>
      </c>
      <c r="C5346" t="s">
        <v>61</v>
      </c>
    </row>
    <row r="5347" spans="1:3" x14ac:dyDescent="0.25">
      <c r="A5347" t="str">
        <f>"690787510"</f>
        <v>690787510</v>
      </c>
      <c r="B5347" t="str">
        <f>"EHPAD DU CH DE BELLEVILLE"</f>
        <v>EHPAD DU CH DE BELLEVILLE</v>
      </c>
      <c r="C5347" t="s">
        <v>61</v>
      </c>
    </row>
    <row r="5348" spans="1:3" x14ac:dyDescent="0.25">
      <c r="A5348" t="str">
        <f>"690787643"</f>
        <v>690787643</v>
      </c>
      <c r="B5348" t="str">
        <f>"EHPAD LES COLLONGES"</f>
        <v>EHPAD LES COLLONGES</v>
      </c>
      <c r="C5348" t="s">
        <v>61</v>
      </c>
    </row>
    <row r="5349" spans="1:3" x14ac:dyDescent="0.25">
      <c r="A5349" t="str">
        <f>"690788161"</f>
        <v>690788161</v>
      </c>
      <c r="B5349" t="str">
        <f>"EHPAD SMITH"</f>
        <v>EHPAD SMITH</v>
      </c>
      <c r="C5349" t="s">
        <v>61</v>
      </c>
    </row>
    <row r="5350" spans="1:3" x14ac:dyDescent="0.25">
      <c r="A5350" t="str">
        <f>"690788252"</f>
        <v>690788252</v>
      </c>
      <c r="B5350" t="str">
        <f>"EHPAD L'ETOILE DU JOUR"</f>
        <v>EHPAD L'ETOILE DU JOUR</v>
      </c>
      <c r="C5350" t="s">
        <v>61</v>
      </c>
    </row>
    <row r="5351" spans="1:3" x14ac:dyDescent="0.25">
      <c r="A5351" t="str">
        <f>"690788401"</f>
        <v>690788401</v>
      </c>
      <c r="B5351" t="str">
        <f>"EHPAD LA ROTONDE"</f>
        <v>EHPAD LA ROTONDE</v>
      </c>
      <c r="C5351" t="s">
        <v>61</v>
      </c>
    </row>
    <row r="5352" spans="1:3" x14ac:dyDescent="0.25">
      <c r="A5352" t="str">
        <f>"690788484"</f>
        <v>690788484</v>
      </c>
      <c r="B5352" t="str">
        <f>"EHPAD LES BALCONS DE L'ILE BARBE"</f>
        <v>EHPAD LES BALCONS DE L'ILE BARBE</v>
      </c>
      <c r="C5352" t="s">
        <v>61</v>
      </c>
    </row>
    <row r="5353" spans="1:3" x14ac:dyDescent="0.25">
      <c r="A5353" t="str">
        <f>"690790324"</f>
        <v>690790324</v>
      </c>
      <c r="B5353" t="str">
        <f>"EHPAD L'ACCUEIL"</f>
        <v>EHPAD L'ACCUEIL</v>
      </c>
      <c r="C5353" t="s">
        <v>61</v>
      </c>
    </row>
    <row r="5354" spans="1:3" x14ac:dyDescent="0.25">
      <c r="A5354" t="str">
        <f>"690790332"</f>
        <v>690790332</v>
      </c>
      <c r="B5354" t="str">
        <f>"EHPAD JEAN BOREL"</f>
        <v>EHPAD JEAN BOREL</v>
      </c>
      <c r="C5354" t="s">
        <v>61</v>
      </c>
    </row>
    <row r="5355" spans="1:3" x14ac:dyDescent="0.25">
      <c r="A5355" t="str">
        <f>"690790340"</f>
        <v>690790340</v>
      </c>
      <c r="B5355" t="str">
        <f>"EHPAD SAINTE-ANNE / LYON 9EME"</f>
        <v>EHPAD SAINTE-ANNE / LYON 9EME</v>
      </c>
      <c r="C5355" t="s">
        <v>61</v>
      </c>
    </row>
    <row r="5356" spans="1:3" x14ac:dyDescent="0.25">
      <c r="A5356" t="str">
        <f>"690790357"</f>
        <v>690790357</v>
      </c>
      <c r="B5356" t="str">
        <f>"EHPAD LA ROSERAIE"</f>
        <v>EHPAD LA ROSERAIE</v>
      </c>
      <c r="C5356" t="s">
        <v>61</v>
      </c>
    </row>
    <row r="5357" spans="1:3" x14ac:dyDescent="0.25">
      <c r="A5357" t="str">
        <f>"690790373"</f>
        <v>690790373</v>
      </c>
      <c r="B5357" t="str">
        <f>"EHPAD LA CHAUDERAIE"</f>
        <v>EHPAD LA CHAUDERAIE</v>
      </c>
      <c r="C5357" t="s">
        <v>61</v>
      </c>
    </row>
    <row r="5358" spans="1:3" x14ac:dyDescent="0.25">
      <c r="A5358" t="str">
        <f>"690790381"</f>
        <v>690790381</v>
      </c>
      <c r="B5358" t="str">
        <f>"EHPAD MONPLAISIR LA PLAINE"</f>
        <v>EHPAD MONPLAISIR LA PLAINE</v>
      </c>
      <c r="C5358" t="s">
        <v>61</v>
      </c>
    </row>
    <row r="5359" spans="1:3" x14ac:dyDescent="0.25">
      <c r="A5359" t="str">
        <f>"690793583"</f>
        <v>690793583</v>
      </c>
      <c r="B5359" t="str">
        <f>"EHPAD SAINT-JOSEPH"</f>
        <v>EHPAD SAINT-JOSEPH</v>
      </c>
      <c r="C5359" t="s">
        <v>61</v>
      </c>
    </row>
    <row r="5360" spans="1:3" x14ac:dyDescent="0.25">
      <c r="A5360" t="str">
        <f>"690794730"</f>
        <v>690794730</v>
      </c>
      <c r="B5360" t="str">
        <f>"EHPAD LES QUATRE FONTAINES"</f>
        <v>EHPAD LES QUATRE FONTAINES</v>
      </c>
      <c r="C5360" t="s">
        <v>61</v>
      </c>
    </row>
    <row r="5361" spans="1:3" x14ac:dyDescent="0.25">
      <c r="A5361" t="str">
        <f>"690795810"</f>
        <v>690795810</v>
      </c>
      <c r="B5361" t="str">
        <f>"EHPAD ACPPA TALUYERS"</f>
        <v>EHPAD ACPPA TALUYERS</v>
      </c>
      <c r="C5361" t="s">
        <v>61</v>
      </c>
    </row>
    <row r="5362" spans="1:3" x14ac:dyDescent="0.25">
      <c r="A5362" t="str">
        <f>"690797527"</f>
        <v>690797527</v>
      </c>
      <c r="B5362" t="str">
        <f>"RESIDENCE LES COLLINES DOREES"</f>
        <v>RESIDENCE LES COLLINES DOREES</v>
      </c>
      <c r="C5362" t="s">
        <v>61</v>
      </c>
    </row>
    <row r="5363" spans="1:3" x14ac:dyDescent="0.25">
      <c r="A5363" t="str">
        <f>"690797618"</f>
        <v>690797618</v>
      </c>
      <c r="B5363" t="str">
        <f>"EHPAD HENRI VINCENOT"</f>
        <v>EHPAD HENRI VINCENOT</v>
      </c>
      <c r="C5363" t="s">
        <v>61</v>
      </c>
    </row>
    <row r="5364" spans="1:3" x14ac:dyDescent="0.25">
      <c r="A5364" t="str">
        <f>"690797824"</f>
        <v>690797824</v>
      </c>
      <c r="B5364" t="str">
        <f>"EHPAD DE COURS"</f>
        <v>EHPAD DE COURS</v>
      </c>
      <c r="C5364" t="s">
        <v>61</v>
      </c>
    </row>
    <row r="5365" spans="1:3" x14ac:dyDescent="0.25">
      <c r="A5365" t="str">
        <f>"690797972"</f>
        <v>690797972</v>
      </c>
      <c r="B5365" t="str">
        <f>"EHPAD CH MDL - ST SYMPHORIEN SUR COISE"</f>
        <v>EHPAD CH MDL - ST SYMPHORIEN SUR COISE</v>
      </c>
      <c r="C5365" t="s">
        <v>61</v>
      </c>
    </row>
    <row r="5366" spans="1:3" x14ac:dyDescent="0.25">
      <c r="A5366" t="str">
        <f>"690799390"</f>
        <v>690799390</v>
      </c>
      <c r="B5366" t="str">
        <f>"EHPAD LES AGAPANTHES"</f>
        <v>EHPAD LES AGAPANTHES</v>
      </c>
      <c r="C5366" t="s">
        <v>61</v>
      </c>
    </row>
    <row r="5367" spans="1:3" x14ac:dyDescent="0.25">
      <c r="A5367" t="str">
        <f>"690799994"</f>
        <v>690799994</v>
      </c>
      <c r="B5367" t="str">
        <f>"EHPAD DU CH DE SAINTE-FOY-LES-LYON"</f>
        <v>EHPAD DU CH DE SAINTE-FOY-LES-LYON</v>
      </c>
      <c r="C5367" t="s">
        <v>61</v>
      </c>
    </row>
    <row r="5368" spans="1:3" x14ac:dyDescent="0.25">
      <c r="A5368" t="str">
        <f>"690800016"</f>
        <v>690800016</v>
      </c>
      <c r="B5368" t="str">
        <f>"EHPAD DU CH DE BEAUJEU"</f>
        <v>EHPAD DU CH DE BEAUJEU</v>
      </c>
      <c r="C5368" t="s">
        <v>61</v>
      </c>
    </row>
    <row r="5369" spans="1:3" x14ac:dyDescent="0.25">
      <c r="A5369" t="str">
        <f>"690800024"</f>
        <v>690800024</v>
      </c>
      <c r="B5369" t="str">
        <f>"EHPAD-CENTRE HOSP. MONTGELAS"</f>
        <v>EHPAD-CENTRE HOSP. MONTGELAS</v>
      </c>
      <c r="C5369" t="s">
        <v>61</v>
      </c>
    </row>
    <row r="5370" spans="1:3" x14ac:dyDescent="0.25">
      <c r="A5370" t="str">
        <f>"690800032"</f>
        <v>690800032</v>
      </c>
      <c r="B5370" t="str">
        <f>"EHPAD DE HOPITAL DE NEUVILLE"</f>
        <v>EHPAD DE HOPITAL DE NEUVILLE</v>
      </c>
      <c r="C5370" t="s">
        <v>61</v>
      </c>
    </row>
    <row r="5371" spans="1:3" x14ac:dyDescent="0.25">
      <c r="A5371" t="str">
        <f>"690800040"</f>
        <v>690800040</v>
      </c>
      <c r="B5371" t="str">
        <f>"EHPAD DE THIZY"</f>
        <v>EHPAD DE THIZY</v>
      </c>
      <c r="C5371" t="s">
        <v>61</v>
      </c>
    </row>
    <row r="5372" spans="1:3" x14ac:dyDescent="0.25">
      <c r="A5372" t="str">
        <f>"690800057"</f>
        <v>690800057</v>
      </c>
      <c r="B5372" t="str">
        <f>"EHPAD DE BOURG-DE-THIZY"</f>
        <v>EHPAD DE BOURG-DE-THIZY</v>
      </c>
      <c r="C5372" t="s">
        <v>61</v>
      </c>
    </row>
    <row r="5373" spans="1:3" x14ac:dyDescent="0.25">
      <c r="A5373" t="str">
        <f>"690800099"</f>
        <v>690800099</v>
      </c>
      <c r="B5373" t="str">
        <f>"EHPAD D'AMPLEPUIS"</f>
        <v>EHPAD D'AMPLEPUIS</v>
      </c>
      <c r="C5373" t="s">
        <v>61</v>
      </c>
    </row>
    <row r="5374" spans="1:3" x14ac:dyDescent="0.25">
      <c r="A5374" t="str">
        <f>"690800941"</f>
        <v>690800941</v>
      </c>
      <c r="B5374" t="str">
        <f>"EHPAD DU CH GERIATRIQUE DU MONT D'OR"</f>
        <v>EHPAD DU CH GERIATRIQUE DU MONT D'OR</v>
      </c>
      <c r="C5374" t="s">
        <v>61</v>
      </c>
    </row>
    <row r="5375" spans="1:3" x14ac:dyDescent="0.25">
      <c r="A5375" t="str">
        <f>"690800974"</f>
        <v>690800974</v>
      </c>
      <c r="B5375" t="str">
        <f>"EHPAD CH MDL ST LAURENT DE CHAMOUSSET"</f>
        <v>EHPAD CH MDL ST LAURENT DE CHAMOUSSET</v>
      </c>
      <c r="C5375" t="s">
        <v>61</v>
      </c>
    </row>
    <row r="5376" spans="1:3" x14ac:dyDescent="0.25">
      <c r="A5376" t="str">
        <f>"690800990"</f>
        <v>690800990</v>
      </c>
      <c r="B5376" t="str">
        <f>"EHPAD MAISON FLEURIE"</f>
        <v>EHPAD MAISON FLEURIE</v>
      </c>
      <c r="C5376" t="s">
        <v>61</v>
      </c>
    </row>
    <row r="5377" spans="1:3" x14ac:dyDescent="0.25">
      <c r="A5377" t="str">
        <f>"690801006"</f>
        <v>690801006</v>
      </c>
      <c r="B5377" t="str">
        <f>"EHPAD LES VOLUBILIS"</f>
        <v>EHPAD LES VOLUBILIS</v>
      </c>
      <c r="C5377" t="s">
        <v>61</v>
      </c>
    </row>
    <row r="5378" spans="1:3" x14ac:dyDescent="0.25">
      <c r="A5378" t="str">
        <f>"690801022"</f>
        <v>690801022</v>
      </c>
      <c r="B5378" t="str">
        <f>"EHPAD TIERS TEMPS"</f>
        <v>EHPAD TIERS TEMPS</v>
      </c>
      <c r="C5378" t="s">
        <v>61</v>
      </c>
    </row>
    <row r="5379" spans="1:3" x14ac:dyDescent="0.25">
      <c r="A5379" t="str">
        <f>"690801055"</f>
        <v>690801055</v>
      </c>
      <c r="B5379" t="str">
        <f>"EHPAD REMY FRANCOIS"</f>
        <v>EHPAD REMY FRANCOIS</v>
      </c>
      <c r="C5379" t="s">
        <v>61</v>
      </c>
    </row>
    <row r="5380" spans="1:3" x14ac:dyDescent="0.25">
      <c r="A5380" t="str">
        <f>"690801063"</f>
        <v>690801063</v>
      </c>
      <c r="B5380" t="str">
        <f>"EHPAD LE CLOS D'YPRES"</f>
        <v>EHPAD LE CLOS D'YPRES</v>
      </c>
      <c r="C5380" t="s">
        <v>61</v>
      </c>
    </row>
    <row r="5381" spans="1:3" x14ac:dyDescent="0.25">
      <c r="A5381" t="str">
        <f>"690801089"</f>
        <v>690801089</v>
      </c>
      <c r="B5381" t="str">
        <f>"EHPAD LA GRANDE CHARRIERE"</f>
        <v>EHPAD LA GRANDE CHARRIERE</v>
      </c>
      <c r="C5381" t="s">
        <v>61</v>
      </c>
    </row>
    <row r="5382" spans="1:3" x14ac:dyDescent="0.25">
      <c r="A5382" t="str">
        <f>"690801139"</f>
        <v>690801139</v>
      </c>
      <c r="B5382" t="str">
        <f>"EHPAD VILANOVA"</f>
        <v>EHPAD VILANOVA</v>
      </c>
      <c r="C5382" t="s">
        <v>61</v>
      </c>
    </row>
    <row r="5383" spans="1:3" x14ac:dyDescent="0.25">
      <c r="A5383" t="str">
        <f>"690801402"</f>
        <v>690801402</v>
      </c>
      <c r="B5383" t="str">
        <f>"EHPAD MONTVENOUX"</f>
        <v>EHPAD MONTVENOUX</v>
      </c>
      <c r="C5383" t="s">
        <v>61</v>
      </c>
    </row>
    <row r="5384" spans="1:3" x14ac:dyDescent="0.25">
      <c r="A5384" t="str">
        <f>"690801428"</f>
        <v>690801428</v>
      </c>
      <c r="B5384" t="str">
        <f>"EHPAD COLLINE DE LA SOIE"</f>
        <v>EHPAD COLLINE DE LA SOIE</v>
      </c>
      <c r="C5384" t="s">
        <v>61</v>
      </c>
    </row>
    <row r="5385" spans="1:3" x14ac:dyDescent="0.25">
      <c r="A5385" t="str">
        <f>"690801436"</f>
        <v>690801436</v>
      </c>
      <c r="B5385" t="str">
        <f>"EHPAD BLANQUI"</f>
        <v>EHPAD BLANQUI</v>
      </c>
      <c r="C5385" t="s">
        <v>61</v>
      </c>
    </row>
    <row r="5386" spans="1:3" x14ac:dyDescent="0.25">
      <c r="A5386" t="str">
        <f>"690801451"</f>
        <v>690801451</v>
      </c>
      <c r="B5386" t="str">
        <f>"EHPAD LES EMERAUDES"</f>
        <v>EHPAD LES EMERAUDES</v>
      </c>
      <c r="C5386" t="s">
        <v>61</v>
      </c>
    </row>
    <row r="5387" spans="1:3" x14ac:dyDescent="0.25">
      <c r="A5387" t="str">
        <f>"690801469"</f>
        <v>690801469</v>
      </c>
      <c r="B5387" t="str">
        <f>"EHPAD LA VERANDINE"</f>
        <v>EHPAD LA VERANDINE</v>
      </c>
      <c r="C5387" t="s">
        <v>61</v>
      </c>
    </row>
    <row r="5388" spans="1:3" x14ac:dyDescent="0.25">
      <c r="A5388" t="str">
        <f>"690801477"</f>
        <v>690801477</v>
      </c>
      <c r="B5388" t="str">
        <f>"EHPAD CHATEAU DU LOUP"</f>
        <v>EHPAD CHATEAU DU LOUP</v>
      </c>
      <c r="C5388" t="s">
        <v>61</v>
      </c>
    </row>
    <row r="5389" spans="1:3" x14ac:dyDescent="0.25">
      <c r="A5389" t="str">
        <f>"690801576"</f>
        <v>690801576</v>
      </c>
      <c r="B5389" t="str">
        <f>"EHPAD LA VIGIE DES MONTS D'OR"</f>
        <v>EHPAD LA VIGIE DES MONTS D'OR</v>
      </c>
      <c r="C5389" t="s">
        <v>61</v>
      </c>
    </row>
    <row r="5390" spans="1:3" x14ac:dyDescent="0.25">
      <c r="A5390" t="str">
        <f>"690801824"</f>
        <v>690801824</v>
      </c>
      <c r="B5390" t="str">
        <f>"EHPAD LES JARDINS D'HESTIA"</f>
        <v>EHPAD LES JARDINS D'HESTIA</v>
      </c>
      <c r="C5390" t="s">
        <v>61</v>
      </c>
    </row>
    <row r="5391" spans="1:3" x14ac:dyDescent="0.25">
      <c r="A5391" t="str">
        <f>"690801840"</f>
        <v>690801840</v>
      </c>
      <c r="B5391" t="str">
        <f>"EHPAD RESIDENCE DU CHAMP DE COURSES"</f>
        <v>EHPAD RESIDENCE DU CHAMP DE COURSES</v>
      </c>
      <c r="C5391" t="s">
        <v>61</v>
      </c>
    </row>
    <row r="5392" spans="1:3" x14ac:dyDescent="0.25">
      <c r="A5392" t="str">
        <f>"690802046"</f>
        <v>690802046</v>
      </c>
      <c r="B5392" t="str">
        <f>"EHPAD LE CHARME DES SOURCES"</f>
        <v>EHPAD LE CHARME DES SOURCES</v>
      </c>
      <c r="C5392" t="s">
        <v>61</v>
      </c>
    </row>
    <row r="5393" spans="1:3" x14ac:dyDescent="0.25">
      <c r="A5393" t="str">
        <f>"690802111"</f>
        <v>690802111</v>
      </c>
      <c r="B5393" t="str">
        <f>"EHPAD LOUISE COUCHEROUX"</f>
        <v>EHPAD LOUISE COUCHEROUX</v>
      </c>
      <c r="C5393" t="s">
        <v>61</v>
      </c>
    </row>
    <row r="5394" spans="1:3" x14ac:dyDescent="0.25">
      <c r="A5394" t="str">
        <f>"690802160"</f>
        <v>690802160</v>
      </c>
      <c r="B5394" t="str">
        <f>"EHPAD GAMBETTA"</f>
        <v>EHPAD GAMBETTA</v>
      </c>
      <c r="C5394" t="s">
        <v>61</v>
      </c>
    </row>
    <row r="5395" spans="1:3" x14ac:dyDescent="0.25">
      <c r="A5395" t="str">
        <f>"690802277"</f>
        <v>690802277</v>
      </c>
      <c r="B5395" t="str">
        <f>"EHPAD KORIAN LA FONTANIERE"</f>
        <v>EHPAD KORIAN LA FONTANIERE</v>
      </c>
      <c r="C5395" t="s">
        <v>61</v>
      </c>
    </row>
    <row r="5396" spans="1:3" x14ac:dyDescent="0.25">
      <c r="A5396" t="str">
        <f>"690802293"</f>
        <v>690802293</v>
      </c>
      <c r="B5396" t="str">
        <f>"EHPAD MARGUERITE"</f>
        <v>EHPAD MARGUERITE</v>
      </c>
      <c r="C5396" t="s">
        <v>61</v>
      </c>
    </row>
    <row r="5397" spans="1:3" x14ac:dyDescent="0.25">
      <c r="A5397" t="str">
        <f>"690802301"</f>
        <v>690802301</v>
      </c>
      <c r="B5397" t="str">
        <f>"EHPAD LES AURELIAS"</f>
        <v>EHPAD LES AURELIAS</v>
      </c>
      <c r="C5397" t="s">
        <v>61</v>
      </c>
    </row>
    <row r="5398" spans="1:3" x14ac:dyDescent="0.25">
      <c r="A5398" t="str">
        <f>"690802319"</f>
        <v>690802319</v>
      </c>
      <c r="B5398" t="str">
        <f>"EHPAD KORIAN LES TERRASSES DE BLANDAN"</f>
        <v>EHPAD KORIAN LES TERRASSES DE BLANDAN</v>
      </c>
      <c r="C5398" t="s">
        <v>61</v>
      </c>
    </row>
    <row r="5399" spans="1:3" x14ac:dyDescent="0.25">
      <c r="A5399" t="str">
        <f>"690802327"</f>
        <v>690802327</v>
      </c>
      <c r="B5399" t="str">
        <f>"EHPAD LES LANDIERS"</f>
        <v>EHPAD LES LANDIERS</v>
      </c>
      <c r="C5399" t="s">
        <v>61</v>
      </c>
    </row>
    <row r="5400" spans="1:3" x14ac:dyDescent="0.25">
      <c r="A5400" t="str">
        <f>"690802343"</f>
        <v>690802343</v>
      </c>
      <c r="B5400" t="str">
        <f>"EHPAD L'EOLIENNE"</f>
        <v>EHPAD L'EOLIENNE</v>
      </c>
      <c r="C5400" t="s">
        <v>61</v>
      </c>
    </row>
    <row r="5401" spans="1:3" x14ac:dyDescent="0.25">
      <c r="A5401" t="str">
        <f>"690802368"</f>
        <v>690802368</v>
      </c>
      <c r="B5401" t="str">
        <f>"EHPAD SAINT-LAURENT"</f>
        <v>EHPAD SAINT-LAURENT</v>
      </c>
      <c r="C5401" t="s">
        <v>61</v>
      </c>
    </row>
    <row r="5402" spans="1:3" x14ac:dyDescent="0.25">
      <c r="A5402" t="str">
        <f>"690802376"</f>
        <v>690802376</v>
      </c>
      <c r="B5402" t="str">
        <f>"EHPAD LES CRISTALLINES"</f>
        <v>EHPAD LES CRISTALLINES</v>
      </c>
      <c r="C5402" t="s">
        <v>61</v>
      </c>
    </row>
    <row r="5403" spans="1:3" x14ac:dyDescent="0.25">
      <c r="A5403" t="str">
        <f>"690802384"</f>
        <v>690802384</v>
      </c>
      <c r="B5403" t="str">
        <f>"EHPAD KORIAN LES ANNABELLES"</f>
        <v>EHPAD KORIAN LES ANNABELLES</v>
      </c>
      <c r="C5403" t="s">
        <v>61</v>
      </c>
    </row>
    <row r="5404" spans="1:3" x14ac:dyDescent="0.25">
      <c r="A5404" t="str">
        <f>"690802392"</f>
        <v>690802392</v>
      </c>
      <c r="B5404" t="str">
        <f>"EHPAD CROIX-ROUSSE"</f>
        <v>EHPAD CROIX-ROUSSE</v>
      </c>
      <c r="C5404" t="s">
        <v>61</v>
      </c>
    </row>
    <row r="5405" spans="1:3" x14ac:dyDescent="0.25">
      <c r="A5405" t="str">
        <f>"690802400"</f>
        <v>690802400</v>
      </c>
      <c r="B5405" t="str">
        <f>"EHPAD LES AMANDINES"</f>
        <v>EHPAD LES AMANDINES</v>
      </c>
      <c r="C5405" t="s">
        <v>61</v>
      </c>
    </row>
    <row r="5406" spans="1:3" x14ac:dyDescent="0.25">
      <c r="A5406" t="str">
        <f>"690802418"</f>
        <v>690802418</v>
      </c>
      <c r="B5406" t="str">
        <f>"EHPAD LA FAVORITE"</f>
        <v>EHPAD LA FAVORITE</v>
      </c>
      <c r="C5406" t="s">
        <v>61</v>
      </c>
    </row>
    <row r="5407" spans="1:3" x14ac:dyDescent="0.25">
      <c r="A5407" t="str">
        <f>"690802434"</f>
        <v>690802434</v>
      </c>
      <c r="B5407" t="str">
        <f>"EHPAD VALMY"</f>
        <v>EHPAD VALMY</v>
      </c>
      <c r="C5407" t="s">
        <v>61</v>
      </c>
    </row>
    <row r="5408" spans="1:3" x14ac:dyDescent="0.25">
      <c r="A5408" t="str">
        <f>"690802459"</f>
        <v>690802459</v>
      </c>
      <c r="B5408" t="str">
        <f>"EHPAD LES TERRASSES DE L'ETOILE"</f>
        <v>EHPAD LES TERRASSES DE L'ETOILE</v>
      </c>
      <c r="C5408" t="s">
        <v>61</v>
      </c>
    </row>
    <row r="5409" spans="1:3" x14ac:dyDescent="0.25">
      <c r="A5409" t="str">
        <f>"690802483"</f>
        <v>690802483</v>
      </c>
      <c r="B5409" t="str">
        <f>"EHPAD LA BOISSIERE"</f>
        <v>EHPAD LA BOISSIERE</v>
      </c>
      <c r="C5409" t="s">
        <v>61</v>
      </c>
    </row>
    <row r="5410" spans="1:3" x14ac:dyDescent="0.25">
      <c r="A5410" t="str">
        <f>"690802517"</f>
        <v>690802517</v>
      </c>
      <c r="B5410" t="str">
        <f>"EHPAD MARGAUX"</f>
        <v>EHPAD MARGAUX</v>
      </c>
      <c r="C5410" t="s">
        <v>61</v>
      </c>
    </row>
    <row r="5411" spans="1:3" x14ac:dyDescent="0.25">
      <c r="A5411" t="str">
        <f>"690802525"</f>
        <v>690802525</v>
      </c>
      <c r="B5411" t="str">
        <f>"EHPAD LES VERTS MONTS"</f>
        <v>EHPAD LES VERTS MONTS</v>
      </c>
      <c r="C5411" t="s">
        <v>61</v>
      </c>
    </row>
    <row r="5412" spans="1:3" x14ac:dyDescent="0.25">
      <c r="A5412" t="str">
        <f>"690802632"</f>
        <v>690802632</v>
      </c>
      <c r="B5412" t="str">
        <f>"HNO EHPAD DE GRANDRIS HAUTE AZERGUES"</f>
        <v>HNO EHPAD DE GRANDRIS HAUTE AZERGUES</v>
      </c>
      <c r="C5412" t="s">
        <v>61</v>
      </c>
    </row>
    <row r="5413" spans="1:3" x14ac:dyDescent="0.25">
      <c r="A5413" t="str">
        <f>"690802756"</f>
        <v>690802756</v>
      </c>
      <c r="B5413" t="str">
        <f>"EHPAD LA DIMERIE"</f>
        <v>EHPAD LA DIMERIE</v>
      </c>
      <c r="C5413" t="s">
        <v>61</v>
      </c>
    </row>
    <row r="5414" spans="1:3" x14ac:dyDescent="0.25">
      <c r="A5414" t="str">
        <f>"690802970"</f>
        <v>690802970</v>
      </c>
      <c r="B5414" t="str">
        <f>"EHPAD PART-DIEU"</f>
        <v>EHPAD PART-DIEU</v>
      </c>
      <c r="C5414" t="s">
        <v>61</v>
      </c>
    </row>
    <row r="5415" spans="1:3" x14ac:dyDescent="0.25">
      <c r="A5415" t="str">
        <f>"690802996"</f>
        <v>690802996</v>
      </c>
      <c r="B5415" t="str">
        <f>"EHPAD FLEURS D'AUTOMNE"</f>
        <v>EHPAD FLEURS D'AUTOMNE</v>
      </c>
      <c r="C5415" t="s">
        <v>61</v>
      </c>
    </row>
    <row r="5416" spans="1:3" x14ac:dyDescent="0.25">
      <c r="A5416" t="str">
        <f>"690803010"</f>
        <v>690803010</v>
      </c>
      <c r="B5416" t="str">
        <f>"EHPAD MADELEINE CAILLE"</f>
        <v>EHPAD MADELEINE CAILLE</v>
      </c>
      <c r="C5416" t="s">
        <v>61</v>
      </c>
    </row>
    <row r="5417" spans="1:3" x14ac:dyDescent="0.25">
      <c r="A5417" t="str">
        <f>"690805973"</f>
        <v>690805973</v>
      </c>
      <c r="B5417" t="str">
        <f>"EHPAD LES JARDINS D'AMBROISE"</f>
        <v>EHPAD LES JARDINS D'AMBROISE</v>
      </c>
      <c r="C5417" t="s">
        <v>61</v>
      </c>
    </row>
    <row r="5418" spans="1:3" x14ac:dyDescent="0.25">
      <c r="A5418" t="str">
        <f>"690806484"</f>
        <v>690806484</v>
      </c>
      <c r="B5418" t="str">
        <f>"EHPAD LES JARDINS D'ANNE"</f>
        <v>EHPAD LES JARDINS D'ANNE</v>
      </c>
      <c r="C5418" t="s">
        <v>61</v>
      </c>
    </row>
    <row r="5419" spans="1:3" x14ac:dyDescent="0.25">
      <c r="A5419" t="str">
        <f>"690806609"</f>
        <v>690806609</v>
      </c>
      <c r="B5419" t="str">
        <f>"EHPAD LA SAISON DOREE"</f>
        <v>EHPAD LA SAISON DOREE</v>
      </c>
      <c r="C5419" t="s">
        <v>61</v>
      </c>
    </row>
    <row r="5420" spans="1:3" x14ac:dyDescent="0.25">
      <c r="A5420" t="str">
        <f>"690807391"</f>
        <v>690807391</v>
      </c>
      <c r="B5420" t="str">
        <f>"EHPAD LES ALIZES"</f>
        <v>EHPAD LES ALIZES</v>
      </c>
      <c r="C5420" t="s">
        <v>61</v>
      </c>
    </row>
    <row r="5421" spans="1:3" x14ac:dyDescent="0.25">
      <c r="A5421" t="str">
        <f>"690807649"</f>
        <v>690807649</v>
      </c>
      <c r="B5421" t="str">
        <f>"EHPAD VILLETTE D'OR"</f>
        <v>EHPAD VILLETTE D'OR</v>
      </c>
      <c r="C5421" t="s">
        <v>61</v>
      </c>
    </row>
    <row r="5422" spans="1:3" x14ac:dyDescent="0.25">
      <c r="A5422" t="str">
        <f>"700001019"</f>
        <v>700001019</v>
      </c>
      <c r="B5422" t="str">
        <f>"EHPAD SAINT HILAIRE"</f>
        <v>EHPAD SAINT HILAIRE</v>
      </c>
      <c r="C5422" t="s">
        <v>64</v>
      </c>
    </row>
    <row r="5423" spans="1:3" x14ac:dyDescent="0.25">
      <c r="A5423" t="str">
        <f>"700001118"</f>
        <v>700001118</v>
      </c>
      <c r="B5423" t="str">
        <f>"EHPAD RESIDENCE COEUR DE VIE ADMR RIOZ"</f>
        <v>EHPAD RESIDENCE COEUR DE VIE ADMR RIOZ</v>
      </c>
      <c r="C5423" t="s">
        <v>64</v>
      </c>
    </row>
    <row r="5424" spans="1:3" x14ac:dyDescent="0.25">
      <c r="A5424" t="str">
        <f>"700003759"</f>
        <v>700003759</v>
      </c>
      <c r="B5424" t="str">
        <f>"EHPAD LA CHENAIE"</f>
        <v>EHPAD LA CHENAIE</v>
      </c>
      <c r="C5424" t="s">
        <v>64</v>
      </c>
    </row>
    <row r="5425" spans="1:3" x14ac:dyDescent="0.25">
      <c r="A5425" t="str">
        <f>"700004179"</f>
        <v>700004179</v>
      </c>
      <c r="B5425" t="str">
        <f>"EHPAD MONT CHATEL LURE GHHS"</f>
        <v>EHPAD MONT CHATEL LURE GHHS</v>
      </c>
      <c r="C5425" t="s">
        <v>64</v>
      </c>
    </row>
    <row r="5426" spans="1:3" x14ac:dyDescent="0.25">
      <c r="A5426" t="str">
        <f>"700780224"</f>
        <v>700780224</v>
      </c>
      <c r="B5426" t="str">
        <f>"EHPAD NOTRE DAME DES CEDRES"</f>
        <v>EHPAD NOTRE DAME DES CEDRES</v>
      </c>
      <c r="C5426" t="s">
        <v>64</v>
      </c>
    </row>
    <row r="5427" spans="1:3" x14ac:dyDescent="0.25">
      <c r="A5427" t="str">
        <f>"700780240"</f>
        <v>700780240</v>
      </c>
      <c r="B5427" t="str">
        <f>"EHPAD LES LAVIERES"</f>
        <v>EHPAD LES LAVIERES</v>
      </c>
      <c r="C5427" t="s">
        <v>64</v>
      </c>
    </row>
    <row r="5428" spans="1:3" x14ac:dyDescent="0.25">
      <c r="A5428" t="str">
        <f>"700780257"</f>
        <v>700780257</v>
      </c>
      <c r="B5428" t="str">
        <f>"EHPAD ALFRED DORNIER DAMPIERRE"</f>
        <v>EHPAD ALFRED DORNIER DAMPIERRE</v>
      </c>
      <c r="C5428" t="s">
        <v>64</v>
      </c>
    </row>
    <row r="5429" spans="1:3" x14ac:dyDescent="0.25">
      <c r="A5429" t="str">
        <f>"700780273"</f>
        <v>700780273</v>
      </c>
      <c r="B5429" t="str">
        <f>"EHPAD VILLA SAINT JOSEPH"</f>
        <v>EHPAD VILLA SAINT JOSEPH</v>
      </c>
      <c r="C5429" t="s">
        <v>64</v>
      </c>
    </row>
    <row r="5430" spans="1:3" x14ac:dyDescent="0.25">
      <c r="A5430" t="str">
        <f>"700780281"</f>
        <v>700780281</v>
      </c>
      <c r="B5430" t="str">
        <f>"EHPAD GRIBOULARD GHHS"</f>
        <v>EHPAD GRIBOULARD GHHS</v>
      </c>
      <c r="C5430" t="s">
        <v>64</v>
      </c>
    </row>
    <row r="5431" spans="1:3" x14ac:dyDescent="0.25">
      <c r="A5431" t="str">
        <f>"700780729"</f>
        <v>700780729</v>
      </c>
      <c r="B5431" t="str">
        <f>"EHPAD JEAN MICHEL"</f>
        <v>EHPAD JEAN MICHEL</v>
      </c>
      <c r="C5431" t="s">
        <v>64</v>
      </c>
    </row>
    <row r="5432" spans="1:3" x14ac:dyDescent="0.25">
      <c r="A5432" t="str">
        <f>"700781768"</f>
        <v>700781768</v>
      </c>
      <c r="B5432" t="str">
        <f>"EHPAD HOTEL DIEU"</f>
        <v>EHPAD HOTEL DIEU</v>
      </c>
      <c r="C5432" t="s">
        <v>64</v>
      </c>
    </row>
    <row r="5433" spans="1:3" x14ac:dyDescent="0.25">
      <c r="A5433" t="str">
        <f>"700781776"</f>
        <v>700781776</v>
      </c>
      <c r="B5433" t="str">
        <f>"EHPAD D'OYRIERES"</f>
        <v>EHPAD D'OYRIERES</v>
      </c>
      <c r="C5433" t="s">
        <v>64</v>
      </c>
    </row>
    <row r="5434" spans="1:3" x14ac:dyDescent="0.25">
      <c r="A5434" t="str">
        <f>"700781784"</f>
        <v>700781784</v>
      </c>
      <c r="B5434" t="str">
        <f>"EHPAD LES CAPUCINS"</f>
        <v>EHPAD LES CAPUCINS</v>
      </c>
      <c r="C5434" t="s">
        <v>64</v>
      </c>
    </row>
    <row r="5435" spans="1:3" x14ac:dyDescent="0.25">
      <c r="A5435" t="str">
        <f>"700781859"</f>
        <v>700781859</v>
      </c>
      <c r="B5435" t="str">
        <f>"EHPAD LE COMBATTANT"</f>
        <v>EHPAD LE COMBATTANT</v>
      </c>
      <c r="C5435" t="s">
        <v>64</v>
      </c>
    </row>
    <row r="5436" spans="1:3" x14ac:dyDescent="0.25">
      <c r="A5436" t="str">
        <f>"700781867"</f>
        <v>700781867</v>
      </c>
      <c r="B5436" t="str">
        <f>"EHPAD NOTRE DAME"</f>
        <v>EHPAD NOTRE DAME</v>
      </c>
      <c r="C5436" t="s">
        <v>64</v>
      </c>
    </row>
    <row r="5437" spans="1:3" x14ac:dyDescent="0.25">
      <c r="A5437" t="str">
        <f>"700781875"</f>
        <v>700781875</v>
      </c>
      <c r="B5437" t="str">
        <f>"EHPAD COURNOT CHANGEY"</f>
        <v>EHPAD COURNOT CHANGEY</v>
      </c>
      <c r="C5437" t="s">
        <v>64</v>
      </c>
    </row>
    <row r="5438" spans="1:3" x14ac:dyDescent="0.25">
      <c r="A5438" t="str">
        <f>"700782014"</f>
        <v>700782014</v>
      </c>
      <c r="B5438" t="str">
        <f>"EHPAD ST LOUP  GHHS"</f>
        <v>EHPAD ST LOUP  GHHS</v>
      </c>
      <c r="C5438" t="s">
        <v>64</v>
      </c>
    </row>
    <row r="5439" spans="1:3" x14ac:dyDescent="0.25">
      <c r="A5439" t="str">
        <f>"700782022"</f>
        <v>700782022</v>
      </c>
      <c r="B5439" t="str">
        <f>"EHPAD DE GY GHHS"</f>
        <v>EHPAD DE GY GHHS</v>
      </c>
      <c r="C5439" t="s">
        <v>64</v>
      </c>
    </row>
    <row r="5440" spans="1:3" x14ac:dyDescent="0.25">
      <c r="A5440" t="str">
        <f>"700782048"</f>
        <v>700782048</v>
      </c>
      <c r="B5440" t="str">
        <f>"EHPAD LA LIZAINE GHHS"</f>
        <v>EHPAD LA LIZAINE GHHS</v>
      </c>
      <c r="C5440" t="s">
        <v>64</v>
      </c>
    </row>
    <row r="5441" spans="1:3" x14ac:dyDescent="0.25">
      <c r="A5441" t="str">
        <f>"700783335"</f>
        <v>700783335</v>
      </c>
      <c r="B5441" t="str">
        <f>"EHPAD LA SOURCE LUXEUIL GHHS"</f>
        <v>EHPAD LA SOURCE LUXEUIL GHHS</v>
      </c>
      <c r="C5441" t="s">
        <v>64</v>
      </c>
    </row>
    <row r="5442" spans="1:3" x14ac:dyDescent="0.25">
      <c r="A5442" t="str">
        <f>"700783343"</f>
        <v>700783343</v>
      </c>
      <c r="B5442" t="str">
        <f>"EHPAD MARIE RICHARD LURE CHI 70"</f>
        <v>EHPAD MARIE RICHARD LURE CHI 70</v>
      </c>
      <c r="C5442" t="s">
        <v>64</v>
      </c>
    </row>
    <row r="5443" spans="1:3" x14ac:dyDescent="0.25">
      <c r="A5443" t="str">
        <f>"700783665"</f>
        <v>700783665</v>
      </c>
      <c r="B5443" t="str">
        <f>"EHPAD CHATEAU GRAMMONT GHHS"</f>
        <v>EHPAD CHATEAU GRAMMONT GHHS</v>
      </c>
      <c r="C5443" t="s">
        <v>64</v>
      </c>
    </row>
    <row r="5444" spans="1:3" x14ac:dyDescent="0.25">
      <c r="A5444" t="str">
        <f>"700784135"</f>
        <v>700784135</v>
      </c>
      <c r="B5444" t="str">
        <f>"EHPAD LES CHEVRETS"</f>
        <v>EHPAD LES CHEVRETS</v>
      </c>
      <c r="C5444" t="s">
        <v>64</v>
      </c>
    </row>
    <row r="5445" spans="1:3" x14ac:dyDescent="0.25">
      <c r="A5445" t="str">
        <f>"700784267"</f>
        <v>700784267</v>
      </c>
      <c r="B5445" t="str">
        <f>"EHPAD RESIDENCE DU ROCHER"</f>
        <v>EHPAD RESIDENCE DU ROCHER</v>
      </c>
      <c r="C5445" t="s">
        <v>64</v>
      </c>
    </row>
    <row r="5446" spans="1:3" x14ac:dyDescent="0.25">
      <c r="A5446" t="str">
        <f>"700784275"</f>
        <v>700784275</v>
      </c>
      <c r="B5446" t="str">
        <f>"EHPAD FONDATION DE GRAMMONT"</f>
        <v>EHPAD FONDATION DE GRAMMONT</v>
      </c>
      <c r="C5446" t="s">
        <v>64</v>
      </c>
    </row>
    <row r="5447" spans="1:3" x14ac:dyDescent="0.25">
      <c r="A5447" t="str">
        <f>"700784358"</f>
        <v>700784358</v>
      </c>
      <c r="B5447" t="str">
        <f>"EHPAD DE NEUREY GHHS"</f>
        <v>EHPAD DE NEUREY GHHS</v>
      </c>
      <c r="C5447" t="s">
        <v>64</v>
      </c>
    </row>
    <row r="5448" spans="1:3" x14ac:dyDescent="0.25">
      <c r="A5448" t="str">
        <f>"700784721"</f>
        <v>700784721</v>
      </c>
      <c r="B5448" t="str">
        <f>"EHPAD KORIAN LE LAC"</f>
        <v>EHPAD KORIAN LE LAC</v>
      </c>
      <c r="C5448" t="s">
        <v>64</v>
      </c>
    </row>
    <row r="5449" spans="1:3" x14ac:dyDescent="0.25">
      <c r="A5449" t="str">
        <f>"700784788"</f>
        <v>700784788</v>
      </c>
      <c r="B5449" t="str">
        <f>"EHPAD RÉSIDENCE CHANTEFONTAINE"</f>
        <v>EHPAD RÉSIDENCE CHANTEFONTAINE</v>
      </c>
      <c r="C5449" t="s">
        <v>64</v>
      </c>
    </row>
    <row r="5450" spans="1:3" x14ac:dyDescent="0.25">
      <c r="A5450" t="str">
        <f>"700785389"</f>
        <v>700785389</v>
      </c>
      <c r="B5450" t="str">
        <f>"EHPAD LA COMBEAUTE"</f>
        <v>EHPAD LA COMBEAUTE</v>
      </c>
      <c r="C5450" t="s">
        <v>64</v>
      </c>
    </row>
    <row r="5451" spans="1:3" x14ac:dyDescent="0.25">
      <c r="A5451" t="str">
        <f>"700785561"</f>
        <v>700785561</v>
      </c>
      <c r="B5451" t="str">
        <f>"EHPAD RESIDENCE PRE AUX MOINES CIREY"</f>
        <v>EHPAD RESIDENCE PRE AUX MOINES CIREY</v>
      </c>
      <c r="C5451" t="s">
        <v>64</v>
      </c>
    </row>
    <row r="5452" spans="1:3" x14ac:dyDescent="0.25">
      <c r="A5452" t="str">
        <f>"710002007"</f>
        <v>710002007</v>
      </c>
      <c r="B5452" t="str">
        <f>"EHPAD RESIDENCE L ET H CLERET"</f>
        <v>EHPAD RESIDENCE L ET H CLERET</v>
      </c>
      <c r="C5452" t="s">
        <v>64</v>
      </c>
    </row>
    <row r="5453" spans="1:3" x14ac:dyDescent="0.25">
      <c r="A5453" t="str">
        <f>"710002239"</f>
        <v>710002239</v>
      </c>
      <c r="B5453" t="str">
        <f>"EHPAD JACQUES CHAUVIRE DU CH MACON"</f>
        <v>EHPAD JACQUES CHAUVIRE DU CH MACON</v>
      </c>
      <c r="C5453" t="s">
        <v>64</v>
      </c>
    </row>
    <row r="5454" spans="1:3" x14ac:dyDescent="0.25">
      <c r="A5454" t="str">
        <f>"710004409"</f>
        <v>710004409</v>
      </c>
      <c r="B5454" t="str">
        <f>"EHPAD LA PROVIDENCE"</f>
        <v>EHPAD LA PROVIDENCE</v>
      </c>
      <c r="C5454" t="s">
        <v>64</v>
      </c>
    </row>
    <row r="5455" spans="1:3" x14ac:dyDescent="0.25">
      <c r="A5455" t="str">
        <f>"710005638"</f>
        <v>710005638</v>
      </c>
      <c r="B5455" t="str">
        <f>"EHPAD LA MAISON DE L AMANDIER"</f>
        <v>EHPAD LA MAISON DE L AMANDIER</v>
      </c>
      <c r="C5455" t="s">
        <v>64</v>
      </c>
    </row>
    <row r="5456" spans="1:3" x14ac:dyDescent="0.25">
      <c r="A5456" t="str">
        <f>"710006909"</f>
        <v>710006909</v>
      </c>
      <c r="B5456" t="str">
        <f>"EHPAD RESIDENCE LES CHARMES"</f>
        <v>EHPAD RESIDENCE LES CHARMES</v>
      </c>
      <c r="C5456" t="s">
        <v>64</v>
      </c>
    </row>
    <row r="5457" spans="1:3" x14ac:dyDescent="0.25">
      <c r="A5457" t="str">
        <f>"710007139"</f>
        <v>710007139</v>
      </c>
      <c r="B5457" t="str">
        <f>"RESIDENCE DE LA CAPITAINERIE"</f>
        <v>RESIDENCE DE LA CAPITAINERIE</v>
      </c>
      <c r="C5457" t="s">
        <v>64</v>
      </c>
    </row>
    <row r="5458" spans="1:3" x14ac:dyDescent="0.25">
      <c r="A5458" t="str">
        <f>"710007188"</f>
        <v>710007188</v>
      </c>
      <c r="B5458" t="str">
        <f>"EHPAD LES JARDINS  MEDICIS"</f>
        <v>EHPAD LES JARDINS  MEDICIS</v>
      </c>
      <c r="C5458" t="s">
        <v>64</v>
      </c>
    </row>
    <row r="5459" spans="1:3" x14ac:dyDescent="0.25">
      <c r="A5459" t="str">
        <f>"710007238"</f>
        <v>710007238</v>
      </c>
      <c r="B5459" t="str">
        <f>"EHPAD LE DOMAINE DU CHATEAU"</f>
        <v>EHPAD LE DOMAINE DU CHATEAU</v>
      </c>
      <c r="C5459" t="s">
        <v>64</v>
      </c>
    </row>
    <row r="5460" spans="1:3" x14ac:dyDescent="0.25">
      <c r="A5460" t="str">
        <f>"710008384"</f>
        <v>710008384</v>
      </c>
      <c r="B5460" t="str">
        <f>"EHPAD AUTUN CROIX BLANCHE"</f>
        <v>EHPAD AUTUN CROIX BLANCHE</v>
      </c>
      <c r="C5460" t="s">
        <v>64</v>
      </c>
    </row>
    <row r="5461" spans="1:3" x14ac:dyDescent="0.25">
      <c r="A5461" t="str">
        <f>"710010083"</f>
        <v>710010083</v>
      </c>
      <c r="B5461" t="str">
        <f>"EHPAD LES OPALINES"</f>
        <v>EHPAD LES OPALINES</v>
      </c>
      <c r="C5461" t="s">
        <v>64</v>
      </c>
    </row>
    <row r="5462" spans="1:3" x14ac:dyDescent="0.25">
      <c r="A5462" t="str">
        <f>"710010117"</f>
        <v>710010117</v>
      </c>
      <c r="B5462" t="str">
        <f>"EHPAD DIGOIN LES OPALINES"</f>
        <v>EHPAD DIGOIN LES OPALINES</v>
      </c>
      <c r="C5462" t="s">
        <v>64</v>
      </c>
    </row>
    <row r="5463" spans="1:3" x14ac:dyDescent="0.25">
      <c r="A5463" t="str">
        <f>"710010125"</f>
        <v>710010125</v>
      </c>
      <c r="B5463" t="str">
        <f>"EHPAD FILIERIS RES. GERMAINE TILLION"</f>
        <v>EHPAD FILIERIS RES. GERMAINE TILLION</v>
      </c>
      <c r="C5463" t="s">
        <v>64</v>
      </c>
    </row>
    <row r="5464" spans="1:3" x14ac:dyDescent="0.25">
      <c r="A5464" t="str">
        <f>"710010430"</f>
        <v>710010430</v>
      </c>
      <c r="B5464" t="str">
        <f>"EHPAD RESIDENCE AKESIS"</f>
        <v>EHPAD RESIDENCE AKESIS</v>
      </c>
      <c r="C5464" t="s">
        <v>64</v>
      </c>
    </row>
    <row r="5465" spans="1:3" x14ac:dyDescent="0.25">
      <c r="A5465" t="str">
        <f>"710011487"</f>
        <v>710011487</v>
      </c>
      <c r="B5465" t="str">
        <f>"EHPAD DE MERVANS"</f>
        <v>EHPAD DE MERVANS</v>
      </c>
      <c r="C5465" t="s">
        <v>64</v>
      </c>
    </row>
    <row r="5466" spans="1:3" x14ac:dyDescent="0.25">
      <c r="A5466" t="str">
        <f>"710013509"</f>
        <v>710013509</v>
      </c>
      <c r="B5466" t="str">
        <f>"EHPAD ACCUEIL DE JOUR PASTEUR"</f>
        <v>EHPAD ACCUEIL DE JOUR PASTEUR</v>
      </c>
      <c r="C5466" t="s">
        <v>64</v>
      </c>
    </row>
    <row r="5467" spans="1:3" x14ac:dyDescent="0.25">
      <c r="A5467" t="str">
        <f>"710013988"</f>
        <v>710013988</v>
      </c>
      <c r="B5467" t="str">
        <f>"EHPAD LE BOIS DE MENUSE"</f>
        <v>EHPAD LE BOIS DE MENUSE</v>
      </c>
      <c r="C5467" t="s">
        <v>64</v>
      </c>
    </row>
    <row r="5468" spans="1:3" x14ac:dyDescent="0.25">
      <c r="A5468" t="str">
        <f>"710014275"</f>
        <v>710014275</v>
      </c>
      <c r="B5468" t="str">
        <f>"EHPAD PIERRE PFITZENMEYER DU CH MACON"</f>
        <v>EHPAD PIERRE PFITZENMEYER DU CH MACON</v>
      </c>
      <c r="C5468" t="s">
        <v>64</v>
      </c>
    </row>
    <row r="5469" spans="1:3" x14ac:dyDescent="0.25">
      <c r="A5469" t="str">
        <f>"710014309"</f>
        <v>710014309</v>
      </c>
      <c r="B5469" t="str">
        <f>"EHPAD RESIDENCE LES REFLETS D ARGENT"</f>
        <v>EHPAD RESIDENCE LES REFLETS D ARGENT</v>
      </c>
      <c r="C5469" t="s">
        <v>64</v>
      </c>
    </row>
    <row r="5470" spans="1:3" x14ac:dyDescent="0.25">
      <c r="A5470" t="str">
        <f>"710015389"</f>
        <v>710015389</v>
      </c>
      <c r="B5470" t="str">
        <f>"EHPAD LES VIGNES DORÉES"</f>
        <v>EHPAD LES VIGNES DORÉES</v>
      </c>
      <c r="C5470" t="s">
        <v>64</v>
      </c>
    </row>
    <row r="5471" spans="1:3" x14ac:dyDescent="0.25">
      <c r="A5471" t="str">
        <f>"710015603"</f>
        <v>710015603</v>
      </c>
      <c r="B5471" t="str">
        <f>"PETITE UNITÉ DE VIE DE CRONAT"</f>
        <v>PETITE UNITÉ DE VIE DE CRONAT</v>
      </c>
      <c r="C5471" t="s">
        <v>64</v>
      </c>
    </row>
    <row r="5472" spans="1:3" x14ac:dyDescent="0.25">
      <c r="A5472" t="str">
        <f>"710780024"</f>
        <v>710780024</v>
      </c>
      <c r="B5472" t="str">
        <f>"EHPAD LES PIERRES ETOILEES"</f>
        <v>EHPAD LES PIERRES ETOILEES</v>
      </c>
      <c r="C5472" t="s">
        <v>64</v>
      </c>
    </row>
    <row r="5473" spans="1:3" x14ac:dyDescent="0.25">
      <c r="A5473" t="str">
        <f>"710780073"</f>
        <v>710780073</v>
      </c>
      <c r="B5473" t="str">
        <f>"EHPAD FOUGEROLLES"</f>
        <v>EHPAD FOUGEROLLES</v>
      </c>
      <c r="C5473" t="s">
        <v>64</v>
      </c>
    </row>
    <row r="5474" spans="1:3" x14ac:dyDescent="0.25">
      <c r="A5474" t="str">
        <f>"710780099"</f>
        <v>710780099</v>
      </c>
      <c r="B5474" t="str">
        <f>"EHPAD CHATEAU DES CROZES"</f>
        <v>EHPAD CHATEAU DES CROZES</v>
      </c>
      <c r="C5474" t="s">
        <v>64</v>
      </c>
    </row>
    <row r="5475" spans="1:3" x14ac:dyDescent="0.25">
      <c r="A5475" t="str">
        <f>"710780172"</f>
        <v>710780172</v>
      </c>
      <c r="B5475" t="str">
        <f>"EHPAD ISSY L'EVEQUE"</f>
        <v>EHPAD ISSY L'EVEQUE</v>
      </c>
      <c r="C5475" t="s">
        <v>64</v>
      </c>
    </row>
    <row r="5476" spans="1:3" x14ac:dyDescent="0.25">
      <c r="A5476" t="str">
        <f>"710780289"</f>
        <v>710780289</v>
      </c>
      <c r="B5476" t="str">
        <f>"EHPAD DU CH DE MACON LA PROVIDENCE"</f>
        <v>EHPAD DU CH DE MACON LA PROVIDENCE</v>
      </c>
      <c r="C5476" t="s">
        <v>64</v>
      </c>
    </row>
    <row r="5477" spans="1:3" x14ac:dyDescent="0.25">
      <c r="A5477" t="str">
        <f>"710780321"</f>
        <v>710780321</v>
      </c>
      <c r="B5477" t="str">
        <f>"EHPAD RDAS MACON"</f>
        <v>EHPAD RDAS MACON</v>
      </c>
      <c r="C5477" t="s">
        <v>64</v>
      </c>
    </row>
    <row r="5478" spans="1:3" x14ac:dyDescent="0.25">
      <c r="A5478" t="str">
        <f>"710780545"</f>
        <v>710780545</v>
      </c>
      <c r="B5478" t="str">
        <f>"EHPAD FOYER SAINTE MARIE"</f>
        <v>EHPAD FOYER SAINTE MARIE</v>
      </c>
      <c r="C5478" t="s">
        <v>64</v>
      </c>
    </row>
    <row r="5479" spans="1:3" x14ac:dyDescent="0.25">
      <c r="A5479" t="str">
        <f>"710780586"</f>
        <v>710780586</v>
      </c>
      <c r="B5479" t="str">
        <f>"EHPAD MONTCENIS"</f>
        <v>EHPAD MONTCENIS</v>
      </c>
      <c r="C5479" t="s">
        <v>64</v>
      </c>
    </row>
    <row r="5480" spans="1:3" x14ac:dyDescent="0.25">
      <c r="A5480" t="str">
        <f>"710780594"</f>
        <v>710780594</v>
      </c>
      <c r="B5480" t="str">
        <f>"EHPAD EMMANUEL BARDOT"</f>
        <v>EHPAD EMMANUEL BARDOT</v>
      </c>
      <c r="C5480" t="s">
        <v>64</v>
      </c>
    </row>
    <row r="5481" spans="1:3" x14ac:dyDescent="0.25">
      <c r="A5481" t="str">
        <f>"710780693"</f>
        <v>710780693</v>
      </c>
      <c r="B5481" t="str">
        <f>"EHPAD CHARLES BORGEOT"</f>
        <v>EHPAD CHARLES BORGEOT</v>
      </c>
      <c r="C5481" t="s">
        <v>64</v>
      </c>
    </row>
    <row r="5482" spans="1:3" x14ac:dyDescent="0.25">
      <c r="A5482" t="str">
        <f>"710780727"</f>
        <v>710780727</v>
      </c>
      <c r="B5482" t="str">
        <f>"EHPAD LES MARRONNIERS"</f>
        <v>EHPAD LES MARRONNIERS</v>
      </c>
      <c r="C5482" t="s">
        <v>64</v>
      </c>
    </row>
    <row r="5483" spans="1:3" x14ac:dyDescent="0.25">
      <c r="A5483" t="str">
        <f>"710780735"</f>
        <v>710780735</v>
      </c>
      <c r="B5483" t="str">
        <f>"EHPAD LE CLOS BRESSAN"</f>
        <v>EHPAD LE CLOS BRESSAN</v>
      </c>
      <c r="C5483" t="s">
        <v>64</v>
      </c>
    </row>
    <row r="5484" spans="1:3" x14ac:dyDescent="0.25">
      <c r="A5484" t="str">
        <f>"710780743"</f>
        <v>710780743</v>
      </c>
      <c r="B5484" t="str">
        <f>"EHPAD SAINT AMBREUIL"</f>
        <v>EHPAD SAINT AMBREUIL</v>
      </c>
      <c r="C5484" t="s">
        <v>64</v>
      </c>
    </row>
    <row r="5485" spans="1:3" x14ac:dyDescent="0.25">
      <c r="A5485" t="str">
        <f>"710780750"</f>
        <v>710780750</v>
      </c>
      <c r="B5485" t="str">
        <f>"EHPAD LA CHANSONNIERE"</f>
        <v>EHPAD LA CHANSONNIERE</v>
      </c>
      <c r="C5485" t="s">
        <v>64</v>
      </c>
    </row>
    <row r="5486" spans="1:3" x14ac:dyDescent="0.25">
      <c r="A5486" t="str">
        <f>"710780784"</f>
        <v>710780784</v>
      </c>
      <c r="B5486" t="str">
        <f>"EHPAD CHARLES MICHELLAND"</f>
        <v>EHPAD CHARLES MICHELLAND</v>
      </c>
      <c r="C5486" t="s">
        <v>64</v>
      </c>
    </row>
    <row r="5487" spans="1:3" x14ac:dyDescent="0.25">
      <c r="A5487" t="str">
        <f>"710780867"</f>
        <v>710780867</v>
      </c>
      <c r="B5487" t="str">
        <f>"EHPAD LUCIE AUBRAC"</f>
        <v>EHPAD LUCIE AUBRAC</v>
      </c>
      <c r="C5487" t="s">
        <v>64</v>
      </c>
    </row>
    <row r="5488" spans="1:3" x14ac:dyDescent="0.25">
      <c r="A5488" t="str">
        <f>"710780891"</f>
        <v>710780891</v>
      </c>
      <c r="B5488" t="str">
        <f>"EHPAD RÉSIDENCE COEUR DU BRIONNAIS"</f>
        <v>EHPAD RÉSIDENCE COEUR DU BRIONNAIS</v>
      </c>
      <c r="C5488" t="s">
        <v>64</v>
      </c>
    </row>
    <row r="5489" spans="1:3" x14ac:dyDescent="0.25">
      <c r="A5489" t="str">
        <f>"710780974"</f>
        <v>710780974</v>
      </c>
      <c r="B5489" t="str">
        <f>"EHPAD LES TERRES DE DIANE"</f>
        <v>EHPAD LES TERRES DE DIANE</v>
      </c>
      <c r="C5489" t="s">
        <v>64</v>
      </c>
    </row>
    <row r="5490" spans="1:3" x14ac:dyDescent="0.25">
      <c r="A5490" t="str">
        <f>"710781113"</f>
        <v>710781113</v>
      </c>
      <c r="B5490" t="str">
        <f>"EHPAD MAISON DES ANCIENS"</f>
        <v>EHPAD MAISON DES ANCIENS</v>
      </c>
      <c r="C5490" t="s">
        <v>64</v>
      </c>
    </row>
    <row r="5491" spans="1:3" x14ac:dyDescent="0.25">
      <c r="A5491" t="str">
        <f>"710781121"</f>
        <v>710781121</v>
      </c>
      <c r="B5491" t="str">
        <f>"EHPAD MYOSOTIS"</f>
        <v>EHPAD MYOSOTIS</v>
      </c>
      <c r="C5491" t="s">
        <v>64</v>
      </c>
    </row>
    <row r="5492" spans="1:3" x14ac:dyDescent="0.25">
      <c r="A5492" t="str">
        <f>"710781246"</f>
        <v>710781246</v>
      </c>
      <c r="B5492" t="str">
        <f>"EHPAD LE PARC DES LOGES"</f>
        <v>EHPAD LE PARC DES LOGES</v>
      </c>
      <c r="C5492" t="s">
        <v>64</v>
      </c>
    </row>
    <row r="5493" spans="1:3" x14ac:dyDescent="0.25">
      <c r="A5493" t="str">
        <f>"710781295"</f>
        <v>710781295</v>
      </c>
      <c r="B5493" t="str">
        <f>"EHPAD LES CHEMINS DE CUISEL"</f>
        <v>EHPAD LES CHEMINS DE CUISEL</v>
      </c>
      <c r="C5493" t="s">
        <v>64</v>
      </c>
    </row>
    <row r="5494" spans="1:3" x14ac:dyDescent="0.25">
      <c r="A5494" t="str">
        <f>"710781303"</f>
        <v>710781303</v>
      </c>
      <c r="B5494" t="str">
        <f>"EHPAD LES BORDS DE SEILLE"</f>
        <v>EHPAD LES BORDS DE SEILLE</v>
      </c>
      <c r="C5494" t="s">
        <v>64</v>
      </c>
    </row>
    <row r="5495" spans="1:3" x14ac:dyDescent="0.25">
      <c r="A5495" t="str">
        <f>"710781394"</f>
        <v>710781394</v>
      </c>
      <c r="B5495" t="str">
        <f>"EHPAD NICOLE LIMOGE"</f>
        <v>EHPAD NICOLE LIMOGE</v>
      </c>
      <c r="C5495" t="s">
        <v>64</v>
      </c>
    </row>
    <row r="5496" spans="1:3" x14ac:dyDescent="0.25">
      <c r="A5496" t="str">
        <f>"710781576"</f>
        <v>710781576</v>
      </c>
      <c r="B5496" t="str">
        <f>"EHPAD BUXY"</f>
        <v>EHPAD BUXY</v>
      </c>
      <c r="C5496" t="s">
        <v>64</v>
      </c>
    </row>
    <row r="5497" spans="1:3" x14ac:dyDescent="0.25">
      <c r="A5497" t="str">
        <f>"710781659"</f>
        <v>710781659</v>
      </c>
      <c r="B5497" t="str">
        <f>"EHPAD LE NID D'AVELINE"</f>
        <v>EHPAD LE NID D'AVELINE</v>
      </c>
      <c r="C5497" t="s">
        <v>64</v>
      </c>
    </row>
    <row r="5498" spans="1:3" x14ac:dyDescent="0.25">
      <c r="A5498" t="str">
        <f>"710781758"</f>
        <v>710781758</v>
      </c>
      <c r="B5498" t="str">
        <f>"EHPAD CHAMPROUGE"</f>
        <v>EHPAD CHAMPROUGE</v>
      </c>
      <c r="C5498" t="s">
        <v>64</v>
      </c>
    </row>
    <row r="5499" spans="1:3" x14ac:dyDescent="0.25">
      <c r="A5499" t="str">
        <f>"710784083"</f>
        <v>710784083</v>
      </c>
      <c r="B5499" t="str">
        <f>"EHPAD DE RAMBUTEAU ET DE ROCCA"</f>
        <v>EHPAD DE RAMBUTEAU ET DE ROCCA</v>
      </c>
      <c r="C5499" t="s">
        <v>64</v>
      </c>
    </row>
    <row r="5500" spans="1:3" x14ac:dyDescent="0.25">
      <c r="A5500" t="str">
        <f>"710785304"</f>
        <v>710785304</v>
      </c>
      <c r="B5500" t="str">
        <f>"RESIDENCE CAMILLE CLAUDEL"</f>
        <v>RESIDENCE CAMILLE CLAUDEL</v>
      </c>
      <c r="C5500" t="s">
        <v>64</v>
      </c>
    </row>
    <row r="5501" spans="1:3" x14ac:dyDescent="0.25">
      <c r="A5501" t="str">
        <f>"710785312"</f>
        <v>710785312</v>
      </c>
      <c r="B5501" t="str">
        <f>"EHPAD NOTRE DAME DE MARLOUX"</f>
        <v>EHPAD NOTRE DAME DE MARLOUX</v>
      </c>
      <c r="C5501" t="s">
        <v>64</v>
      </c>
    </row>
    <row r="5502" spans="1:3" x14ac:dyDescent="0.25">
      <c r="A5502" t="str">
        <f>"710785353"</f>
        <v>710785353</v>
      </c>
      <c r="B5502" t="str">
        <f>"RÉSIDENCE SAINTE ANNE"</f>
        <v>RÉSIDENCE SAINTE ANNE</v>
      </c>
      <c r="C5502" t="s">
        <v>64</v>
      </c>
    </row>
    <row r="5503" spans="1:3" x14ac:dyDescent="0.25">
      <c r="A5503" t="str">
        <f>"710785361"</f>
        <v>710785361</v>
      </c>
      <c r="B5503" t="str">
        <f>"EHPAD AUTUN LA PROVIDENCE"</f>
        <v>EHPAD AUTUN LA PROVIDENCE</v>
      </c>
      <c r="C5503" t="s">
        <v>64</v>
      </c>
    </row>
    <row r="5504" spans="1:3" x14ac:dyDescent="0.25">
      <c r="A5504" t="str">
        <f>"710785379"</f>
        <v>710785379</v>
      </c>
      <c r="B5504" t="str">
        <f>"EHPAD CHAPELLE DE GUINCHAY  LE BOCAGE"</f>
        <v>EHPAD CHAPELLE DE GUINCHAY  LE BOCAGE</v>
      </c>
      <c r="C5504" t="s">
        <v>64</v>
      </c>
    </row>
    <row r="5505" spans="1:3" x14ac:dyDescent="0.25">
      <c r="A5505" t="str">
        <f>"710970013"</f>
        <v>710970013</v>
      </c>
      <c r="B5505" t="str">
        <f>"EHPAD ROGER LAGRANGE"</f>
        <v>EHPAD ROGER LAGRANGE</v>
      </c>
      <c r="C5505" t="s">
        <v>64</v>
      </c>
    </row>
    <row r="5506" spans="1:3" x14ac:dyDescent="0.25">
      <c r="A5506" t="str">
        <f>"710970070"</f>
        <v>710970070</v>
      </c>
      <c r="B5506" t="str">
        <f>"EHPAD LE COLOMBIER"</f>
        <v>EHPAD LE COLOMBIER</v>
      </c>
      <c r="C5506" t="s">
        <v>64</v>
      </c>
    </row>
    <row r="5507" spans="1:3" x14ac:dyDescent="0.25">
      <c r="A5507" t="str">
        <f>"710970252"</f>
        <v>710970252</v>
      </c>
      <c r="B5507" t="str">
        <f>"EHPAD DU CH DE BOURBON LANCY"</f>
        <v>EHPAD DU CH DE BOURBON LANCY</v>
      </c>
      <c r="C5507" t="s">
        <v>64</v>
      </c>
    </row>
    <row r="5508" spans="1:3" x14ac:dyDescent="0.25">
      <c r="A5508" t="str">
        <f>"710970336"</f>
        <v>710970336</v>
      </c>
      <c r="B5508" t="str">
        <f>"EHPAD PERNET DU CHBL"</f>
        <v>EHPAD PERNET DU CHBL</v>
      </c>
      <c r="C5508" t="s">
        <v>64</v>
      </c>
    </row>
    <row r="5509" spans="1:3" x14ac:dyDescent="0.25">
      <c r="A5509" t="str">
        <f>"710970344"</f>
        <v>710970344</v>
      </c>
      <c r="B5509" t="str">
        <f>"EHPAD RESIDENCE SAINT-HENRI"</f>
        <v>EHPAD RESIDENCE SAINT-HENRI</v>
      </c>
      <c r="C5509" t="s">
        <v>64</v>
      </c>
    </row>
    <row r="5510" spans="1:3" x14ac:dyDescent="0.25">
      <c r="A5510" t="str">
        <f>"710972233"</f>
        <v>710972233</v>
      </c>
      <c r="B5510" t="str">
        <f>"EHPAD NATHALIE BLANCHET"</f>
        <v>EHPAD NATHALIE BLANCHET</v>
      </c>
      <c r="C5510" t="s">
        <v>64</v>
      </c>
    </row>
    <row r="5511" spans="1:3" x14ac:dyDescent="0.25">
      <c r="A5511" t="str">
        <f>"710972258"</f>
        <v>710972258</v>
      </c>
      <c r="B5511" t="str">
        <f>"EHPAD RESIDENCE LA DEMI-LUNE"</f>
        <v>EHPAD RESIDENCE LA DEMI-LUNE</v>
      </c>
      <c r="C5511" t="s">
        <v>64</v>
      </c>
    </row>
    <row r="5512" spans="1:3" x14ac:dyDescent="0.25">
      <c r="A5512" t="str">
        <f>"710972332"</f>
        <v>710972332</v>
      </c>
      <c r="B5512" t="str">
        <f>"EHPAD DU PAYS CHAROLAIS BRIONNAIS"</f>
        <v>EHPAD DU PAYS CHAROLAIS BRIONNAIS</v>
      </c>
      <c r="C5512" t="s">
        <v>64</v>
      </c>
    </row>
    <row r="5513" spans="1:3" x14ac:dyDescent="0.25">
      <c r="A5513" t="str">
        <f>"710972415"</f>
        <v>710972415</v>
      </c>
      <c r="B5513" t="str">
        <f>"EHPAD DU CH JEAN BOUVERI"</f>
        <v>EHPAD DU CH JEAN BOUVERI</v>
      </c>
      <c r="C5513" t="s">
        <v>64</v>
      </c>
    </row>
    <row r="5514" spans="1:3" x14ac:dyDescent="0.25">
      <c r="A5514" t="str">
        <f>"710972472"</f>
        <v>710972472</v>
      </c>
      <c r="B5514" t="str">
        <f>"EHPAD RÉSIDENCE COEUR DU BRIONNAIS"</f>
        <v>EHPAD RÉSIDENCE COEUR DU BRIONNAIS</v>
      </c>
      <c r="C5514" t="s">
        <v>64</v>
      </c>
    </row>
    <row r="5515" spans="1:3" x14ac:dyDescent="0.25">
      <c r="A5515" t="str">
        <f>"710972498"</f>
        <v>710972498</v>
      </c>
      <c r="B5515" t="str">
        <f>"EHPAD DU PAYS CHAROLAIS BRIONNAIS"</f>
        <v>EHPAD DU PAYS CHAROLAIS BRIONNAIS</v>
      </c>
      <c r="C5515" t="s">
        <v>64</v>
      </c>
    </row>
    <row r="5516" spans="1:3" x14ac:dyDescent="0.25">
      <c r="A5516" t="str">
        <f>"710972506"</f>
        <v>710972506</v>
      </c>
      <c r="B5516" t="str">
        <f>"EHPAD CLUNISOIS SITE STEPHANIE CORSIN"</f>
        <v>EHPAD CLUNISOIS SITE STEPHANIE CORSIN</v>
      </c>
      <c r="C5516" t="s">
        <v>64</v>
      </c>
    </row>
    <row r="5517" spans="1:3" x14ac:dyDescent="0.25">
      <c r="A5517" t="str">
        <f>"710972514"</f>
        <v>710972514</v>
      </c>
      <c r="B5517" t="str">
        <f>"EHPAD DU CLUNISOIS SITE JULIEN GRIFFON"</f>
        <v>EHPAD DU CLUNISOIS SITE JULIEN GRIFFON</v>
      </c>
      <c r="C5517" t="s">
        <v>64</v>
      </c>
    </row>
    <row r="5518" spans="1:3" x14ac:dyDescent="0.25">
      <c r="A5518" t="str">
        <f>"710972548"</f>
        <v>710972548</v>
      </c>
      <c r="B5518" t="str">
        <f>"EHPAD DU CH DE CHAGNY"</f>
        <v>EHPAD DU CH DE CHAGNY</v>
      </c>
      <c r="C5518" t="s">
        <v>64</v>
      </c>
    </row>
    <row r="5519" spans="1:3" x14ac:dyDescent="0.25">
      <c r="A5519" t="str">
        <f>"710972605"</f>
        <v>710972605</v>
      </c>
      <c r="B5519" t="str">
        <f>"EHPAD BELNAY"</f>
        <v>EHPAD BELNAY</v>
      </c>
      <c r="C5519" t="s">
        <v>64</v>
      </c>
    </row>
    <row r="5520" spans="1:3" x14ac:dyDescent="0.25">
      <c r="A5520" t="str">
        <f>"710972910"</f>
        <v>710972910</v>
      </c>
      <c r="B5520" t="str">
        <f>"EHPAD DU PAYS CHAROLAIS BRIONNAIS"</f>
        <v>EHPAD DU PAYS CHAROLAIS BRIONNAIS</v>
      </c>
      <c r="C5520" t="s">
        <v>64</v>
      </c>
    </row>
    <row r="5521" spans="1:3" x14ac:dyDescent="0.25">
      <c r="A5521" t="str">
        <f>"710972969"</f>
        <v>710972969</v>
      </c>
      <c r="B5521" t="str">
        <f>"EHPAD ANTONIN ACHAINTRE"</f>
        <v>EHPAD ANTONIN ACHAINTRE</v>
      </c>
      <c r="C5521" t="s">
        <v>64</v>
      </c>
    </row>
    <row r="5522" spans="1:3" x14ac:dyDescent="0.25">
      <c r="A5522" t="str">
        <f>"710972977"</f>
        <v>710972977</v>
      </c>
      <c r="B5522" t="str">
        <f>"EHPAD DU CH LES MARONNIERS"</f>
        <v>EHPAD DU CH LES MARONNIERS</v>
      </c>
      <c r="C5522" t="s">
        <v>64</v>
      </c>
    </row>
    <row r="5523" spans="1:3" x14ac:dyDescent="0.25">
      <c r="A5523" t="str">
        <f>"710973025"</f>
        <v>710973025</v>
      </c>
      <c r="B5523" t="str">
        <f>"EHPAD RESIDENCE MARCELLIN VOLLAT"</f>
        <v>EHPAD RESIDENCE MARCELLIN VOLLAT</v>
      </c>
      <c r="C5523" t="s">
        <v>64</v>
      </c>
    </row>
    <row r="5524" spans="1:3" x14ac:dyDescent="0.25">
      <c r="A5524" t="str">
        <f>"710973595"</f>
        <v>710973595</v>
      </c>
      <c r="B5524" t="str">
        <f>"EHPAD DU CH D AUTUN"</f>
        <v>EHPAD DU CH D AUTUN</v>
      </c>
      <c r="C5524" t="s">
        <v>64</v>
      </c>
    </row>
    <row r="5525" spans="1:3" x14ac:dyDescent="0.25">
      <c r="A5525" t="str">
        <f>"710973645"</f>
        <v>710973645</v>
      </c>
      <c r="B5525" t="str">
        <f>"EHPAD DU CH DE MACON HOTEL DIEU"</f>
        <v>EHPAD DU CH DE MACON HOTEL DIEU</v>
      </c>
      <c r="C5525" t="s">
        <v>64</v>
      </c>
    </row>
    <row r="5526" spans="1:3" x14ac:dyDescent="0.25">
      <c r="A5526" t="str">
        <f>"710973926"</f>
        <v>710973926</v>
      </c>
      <c r="B5526" t="str">
        <f>"EHPAD RESIDENCE MARIUS LACROUZE"</f>
        <v>EHPAD RESIDENCE MARIUS LACROUZE</v>
      </c>
      <c r="C5526" t="s">
        <v>64</v>
      </c>
    </row>
    <row r="5527" spans="1:3" x14ac:dyDescent="0.25">
      <c r="A5527" t="str">
        <f>"710974130"</f>
        <v>710974130</v>
      </c>
      <c r="B5527" t="str">
        <f>"EHPAD VILLA SAINTE AGNES"</f>
        <v>EHPAD VILLA SAINTE AGNES</v>
      </c>
      <c r="C5527" t="s">
        <v>64</v>
      </c>
    </row>
    <row r="5528" spans="1:3" x14ac:dyDescent="0.25">
      <c r="A5528" t="str">
        <f>"710974148"</f>
        <v>710974148</v>
      </c>
      <c r="B5528" t="str">
        <f>"EHPAD SEVREY CHS"</f>
        <v>EHPAD SEVREY CHS</v>
      </c>
      <c r="C5528" t="s">
        <v>64</v>
      </c>
    </row>
    <row r="5529" spans="1:3" x14ac:dyDescent="0.25">
      <c r="A5529" t="str">
        <f>"710974379"</f>
        <v>710974379</v>
      </c>
      <c r="B5529" t="str">
        <f>"RESIDENCE LES POMERELLES"</f>
        <v>RESIDENCE LES POMERELLES</v>
      </c>
      <c r="C5529" t="s">
        <v>64</v>
      </c>
    </row>
    <row r="5530" spans="1:3" x14ac:dyDescent="0.25">
      <c r="A5530" t="str">
        <f>"710974395"</f>
        <v>710974395</v>
      </c>
      <c r="B5530" t="str">
        <f>"EHPAD RESIDENCE LES QUATRE SAISONS"</f>
        <v>EHPAD RESIDENCE LES QUATRE SAISONS</v>
      </c>
      <c r="C5530" t="s">
        <v>64</v>
      </c>
    </row>
    <row r="5531" spans="1:3" x14ac:dyDescent="0.25">
      <c r="A5531" t="str">
        <f>"710974403"</f>
        <v>710974403</v>
      </c>
      <c r="B5531" t="str">
        <f>"EHPAD KORIAN LA VILLA PAPYRI"</f>
        <v>EHPAD KORIAN LA VILLA PAPYRI</v>
      </c>
      <c r="C5531" t="s">
        <v>64</v>
      </c>
    </row>
    <row r="5532" spans="1:3" x14ac:dyDescent="0.25">
      <c r="A5532" t="str">
        <f>"710974452"</f>
        <v>710974452</v>
      </c>
      <c r="B5532" t="str">
        <f>"EHPAD VILLA THALIA"</f>
        <v>EHPAD VILLA THALIA</v>
      </c>
      <c r="C5532" t="s">
        <v>64</v>
      </c>
    </row>
    <row r="5533" spans="1:3" x14ac:dyDescent="0.25">
      <c r="A5533" t="str">
        <f>"710974494"</f>
        <v>710974494</v>
      </c>
      <c r="B5533" t="str">
        <f>"EHPAD RESIDENCE LES IRIS"</f>
        <v>EHPAD RESIDENCE LES IRIS</v>
      </c>
      <c r="C5533" t="s">
        <v>64</v>
      </c>
    </row>
    <row r="5534" spans="1:3" x14ac:dyDescent="0.25">
      <c r="A5534" t="str">
        <f>"710974650"</f>
        <v>710974650</v>
      </c>
      <c r="B5534" t="str">
        <f>"EHPAD VILLA VICTOR HUGO"</f>
        <v>EHPAD VILLA VICTOR HUGO</v>
      </c>
      <c r="C5534" t="s">
        <v>64</v>
      </c>
    </row>
    <row r="5535" spans="1:3" x14ac:dyDescent="0.25">
      <c r="A5535" t="str">
        <f>"710974676"</f>
        <v>710974676</v>
      </c>
      <c r="B5535" t="str">
        <f>"EHPAD LA ROSERAIE MONTCHANIN"</f>
        <v>EHPAD LA ROSERAIE MONTCHANIN</v>
      </c>
      <c r="C5535" t="s">
        <v>64</v>
      </c>
    </row>
    <row r="5536" spans="1:3" x14ac:dyDescent="0.25">
      <c r="A5536" t="str">
        <f>"710974718"</f>
        <v>710974718</v>
      </c>
      <c r="B5536" t="str">
        <f>"EHPAD BASSE MACONNIERE DU CHBL"</f>
        <v>EHPAD BASSE MACONNIERE DU CHBL</v>
      </c>
      <c r="C5536" t="s">
        <v>64</v>
      </c>
    </row>
    <row r="5537" spans="1:3" x14ac:dyDescent="0.25">
      <c r="A5537" t="str">
        <f>"710975087"</f>
        <v>710975087</v>
      </c>
      <c r="B5537" t="str">
        <f>"EHPAD LA LOUHANNAISE"</f>
        <v>EHPAD LA LOUHANNAISE</v>
      </c>
      <c r="C5537" t="s">
        <v>64</v>
      </c>
    </row>
    <row r="5538" spans="1:3" x14ac:dyDescent="0.25">
      <c r="A5538" t="str">
        <f>"710975285"</f>
        <v>710975285</v>
      </c>
      <c r="B5538" t="str">
        <f>"EHPAD KORIAN BEL'SAONE"</f>
        <v>EHPAD KORIAN BEL'SAONE</v>
      </c>
      <c r="C5538" t="s">
        <v>64</v>
      </c>
    </row>
    <row r="5539" spans="1:3" x14ac:dyDescent="0.25">
      <c r="A5539" t="str">
        <f>"710976507"</f>
        <v>710976507</v>
      </c>
      <c r="B5539" t="str">
        <f>"EHPAD BETHLEEM"</f>
        <v>EHPAD BETHLEEM</v>
      </c>
      <c r="C5539" t="s">
        <v>64</v>
      </c>
    </row>
    <row r="5540" spans="1:3" x14ac:dyDescent="0.25">
      <c r="A5540" t="str">
        <f>"710976564"</f>
        <v>710976564</v>
      </c>
      <c r="B5540" t="str">
        <f>"EHPAD LA MAISON D'EOLE"</f>
        <v>EHPAD LA MAISON D'EOLE</v>
      </c>
      <c r="C5540" t="s">
        <v>64</v>
      </c>
    </row>
    <row r="5541" spans="1:3" x14ac:dyDescent="0.25">
      <c r="A5541" t="str">
        <f>"710976861"</f>
        <v>710976861</v>
      </c>
      <c r="B5541" t="str">
        <f>"EHPAD DU CH DE LA GUICHE"</f>
        <v>EHPAD DU CH DE LA GUICHE</v>
      </c>
      <c r="C5541" t="s">
        <v>64</v>
      </c>
    </row>
    <row r="5542" spans="1:3" x14ac:dyDescent="0.25">
      <c r="A5542" t="str">
        <f>"710977067"</f>
        <v>710977067</v>
      </c>
      <c r="B5542" t="str">
        <f>"EHPAD RESIDENCE LES AMALTIDES"</f>
        <v>EHPAD RESIDENCE LES AMALTIDES</v>
      </c>
      <c r="C5542" t="s">
        <v>64</v>
      </c>
    </row>
    <row r="5543" spans="1:3" x14ac:dyDescent="0.25">
      <c r="A5543" t="str">
        <f>"710977190"</f>
        <v>710977190</v>
      </c>
      <c r="B5543" t="str">
        <f>"EHPAD MAISON DE FAMILLE DE BOURGOGNE"</f>
        <v>EHPAD MAISON DE FAMILLE DE BOURGOGNE</v>
      </c>
      <c r="C5543" t="s">
        <v>64</v>
      </c>
    </row>
    <row r="5544" spans="1:3" x14ac:dyDescent="0.25">
      <c r="A5544" t="str">
        <f>"710977273"</f>
        <v>710977273</v>
      </c>
      <c r="B5544" t="str">
        <f>"EHPAD SAINT ANTOINE AUTUN"</f>
        <v>EHPAD SAINT ANTOINE AUTUN</v>
      </c>
      <c r="C5544" t="s">
        <v>64</v>
      </c>
    </row>
    <row r="5545" spans="1:3" x14ac:dyDescent="0.25">
      <c r="A5545" t="str">
        <f>"710978222"</f>
        <v>710978222</v>
      </c>
      <c r="B5545" t="str">
        <f>"EHPAD RESIDENCE LE CANADA"</f>
        <v>EHPAD RESIDENCE LE CANADA</v>
      </c>
      <c r="C5545" t="s">
        <v>64</v>
      </c>
    </row>
    <row r="5546" spans="1:3" x14ac:dyDescent="0.25">
      <c r="A5546" t="str">
        <f>"720000017"</f>
        <v>720000017</v>
      </c>
      <c r="B5546" t="str">
        <f>"EHPAD ANAIS DE LOIR EN VALLEE"</f>
        <v>EHPAD ANAIS DE LOIR EN VALLEE</v>
      </c>
      <c r="C5546" t="s">
        <v>78</v>
      </c>
    </row>
    <row r="5547" spans="1:3" x14ac:dyDescent="0.25">
      <c r="A5547" t="str">
        <f>"720000116"</f>
        <v>720000116</v>
      </c>
      <c r="B5547" t="str">
        <f>"EHPAD LES GLYCINES"</f>
        <v>EHPAD LES GLYCINES</v>
      </c>
      <c r="C5547" t="s">
        <v>78</v>
      </c>
    </row>
    <row r="5548" spans="1:3" x14ac:dyDescent="0.25">
      <c r="A5548" t="str">
        <f>"720000496"</f>
        <v>720000496</v>
      </c>
      <c r="B5548" t="str">
        <f>"EHPAD RESIDENCE CATHERINE DE COURTOUX"</f>
        <v>EHPAD RESIDENCE CATHERINE DE COURTOUX</v>
      </c>
      <c r="C5548" t="s">
        <v>78</v>
      </c>
    </row>
    <row r="5549" spans="1:3" x14ac:dyDescent="0.25">
      <c r="A5549" t="str">
        <f>"720000546"</f>
        <v>720000546</v>
      </c>
      <c r="B5549" t="str">
        <f>"EHPAD LOUIS PASTEUR"</f>
        <v>EHPAD LOUIS PASTEUR</v>
      </c>
      <c r="C5549" t="s">
        <v>78</v>
      </c>
    </row>
    <row r="5550" spans="1:3" x14ac:dyDescent="0.25">
      <c r="A5550" t="str">
        <f>"720002039"</f>
        <v>720002039</v>
      </c>
      <c r="B5550" t="str">
        <f>"EHPAD CEGVS"</f>
        <v>EHPAD CEGVS</v>
      </c>
      <c r="C5550" t="s">
        <v>78</v>
      </c>
    </row>
    <row r="5551" spans="1:3" x14ac:dyDescent="0.25">
      <c r="A5551" t="str">
        <f>"720002047"</f>
        <v>720002047</v>
      </c>
      <c r="B5551" t="str">
        <f>"EHPAD MAINE COEUR DE SARTHE"</f>
        <v>EHPAD MAINE COEUR DE SARTHE</v>
      </c>
      <c r="C5551" t="s">
        <v>78</v>
      </c>
    </row>
    <row r="5552" spans="1:3" x14ac:dyDescent="0.25">
      <c r="A5552" t="str">
        <f>"720002070"</f>
        <v>720002070</v>
      </c>
      <c r="B5552" t="str">
        <f>"EHPAD CEGVS"</f>
        <v>EHPAD CEGVS</v>
      </c>
      <c r="C5552" t="s">
        <v>78</v>
      </c>
    </row>
    <row r="5553" spans="1:3" x14ac:dyDescent="0.25">
      <c r="A5553" t="str">
        <f>"720002088"</f>
        <v>720002088</v>
      </c>
      <c r="B5553" t="str">
        <f>"EHPAD LES FRESNES - LES CHATAIGNIERS"</f>
        <v>EHPAD LES FRESNES - LES CHATAIGNIERS</v>
      </c>
      <c r="C5553" t="s">
        <v>78</v>
      </c>
    </row>
    <row r="5554" spans="1:3" x14ac:dyDescent="0.25">
      <c r="A5554" t="str">
        <f>"720002096"</f>
        <v>720002096</v>
      </c>
      <c r="B5554" t="str">
        <f>"EHPAD MARIE LOUISE BODIN"</f>
        <v>EHPAD MARIE LOUISE BODIN</v>
      </c>
      <c r="C5554" t="s">
        <v>78</v>
      </c>
    </row>
    <row r="5555" spans="1:3" x14ac:dyDescent="0.25">
      <c r="A5555" t="str">
        <f>"720002104"</f>
        <v>720002104</v>
      </c>
      <c r="B5555" t="str">
        <f>"EHPAD DE LOUE"</f>
        <v>EHPAD DE LOUE</v>
      </c>
      <c r="C5555" t="s">
        <v>78</v>
      </c>
    </row>
    <row r="5556" spans="1:3" x14ac:dyDescent="0.25">
      <c r="A5556" t="str">
        <f>"720002120"</f>
        <v>720002120</v>
      </c>
      <c r="B5556" t="str">
        <f>"EHPAD ARC EN CIEL DU PERCHE SAOSNOIS"</f>
        <v>EHPAD ARC EN CIEL DU PERCHE SAOSNOIS</v>
      </c>
      <c r="C5556" t="s">
        <v>78</v>
      </c>
    </row>
    <row r="5557" spans="1:3" x14ac:dyDescent="0.25">
      <c r="A5557" t="str">
        <f>"720002138"</f>
        <v>720002138</v>
      </c>
      <c r="B5557" t="str">
        <f>"EHPAD LES CHEVRIERS"</f>
        <v>EHPAD LES CHEVRIERS</v>
      </c>
      <c r="C5557" t="s">
        <v>78</v>
      </c>
    </row>
    <row r="5558" spans="1:3" x14ac:dyDescent="0.25">
      <c r="A5558" t="str">
        <f>"720002146"</f>
        <v>720002146</v>
      </c>
      <c r="B5558" t="str">
        <f>"EHPAD L'ARC EN CIEL"</f>
        <v>EHPAD L'ARC EN CIEL</v>
      </c>
      <c r="C5558" t="s">
        <v>78</v>
      </c>
    </row>
    <row r="5559" spans="1:3" x14ac:dyDescent="0.25">
      <c r="A5559" t="str">
        <f>"720002153"</f>
        <v>720002153</v>
      </c>
      <c r="B5559" t="str">
        <f>"EHPAD ARC EN CIEL DU PERCHE SAOSNOIS"</f>
        <v>EHPAD ARC EN CIEL DU PERCHE SAOSNOIS</v>
      </c>
      <c r="C5559" t="s">
        <v>78</v>
      </c>
    </row>
    <row r="5560" spans="1:3" x14ac:dyDescent="0.25">
      <c r="A5560" t="str">
        <f>"720002161"</f>
        <v>720002161</v>
      </c>
      <c r="B5560" t="str">
        <f>"EHPAD AMICIE"</f>
        <v>EHPAD AMICIE</v>
      </c>
      <c r="C5560" t="s">
        <v>78</v>
      </c>
    </row>
    <row r="5561" spans="1:3" x14ac:dyDescent="0.25">
      <c r="A5561" t="str">
        <f>"720002179"</f>
        <v>720002179</v>
      </c>
      <c r="B5561" t="str">
        <f>"EHPAD CEGVS"</f>
        <v>EHPAD CEGVS</v>
      </c>
      <c r="C5561" t="s">
        <v>78</v>
      </c>
    </row>
    <row r="5562" spans="1:3" x14ac:dyDescent="0.25">
      <c r="A5562" t="str">
        <f>"720002187"</f>
        <v>720002187</v>
      </c>
      <c r="B5562" t="str">
        <f>"EHPAD RESIDENCE DE FONTENAY"</f>
        <v>EHPAD RESIDENCE DE FONTENAY</v>
      </c>
      <c r="C5562" t="s">
        <v>78</v>
      </c>
    </row>
    <row r="5563" spans="1:3" x14ac:dyDescent="0.25">
      <c r="A5563" t="str">
        <f>"720002195"</f>
        <v>720002195</v>
      </c>
      <c r="B5563" t="str">
        <f>"EHPAD LA HOUSSAYE"</f>
        <v>EHPAD LA HOUSSAYE</v>
      </c>
      <c r="C5563" t="s">
        <v>78</v>
      </c>
    </row>
    <row r="5564" spans="1:3" x14ac:dyDescent="0.25">
      <c r="A5564" t="str">
        <f>"720002211"</f>
        <v>720002211</v>
      </c>
      <c r="B5564" t="str">
        <f>"EHPAD LE PARADIS"</f>
        <v>EHPAD LE PARADIS</v>
      </c>
      <c r="C5564" t="s">
        <v>78</v>
      </c>
    </row>
    <row r="5565" spans="1:3" x14ac:dyDescent="0.25">
      <c r="A5565" t="str">
        <f>"720002252"</f>
        <v>720002252</v>
      </c>
      <c r="B5565" t="str">
        <f>"EHPAD MAINE COEUR DE SARTHE"</f>
        <v>EHPAD MAINE COEUR DE SARTHE</v>
      </c>
      <c r="C5565" t="s">
        <v>78</v>
      </c>
    </row>
    <row r="5566" spans="1:3" x14ac:dyDescent="0.25">
      <c r="A5566" t="str">
        <f>"720002260"</f>
        <v>720002260</v>
      </c>
      <c r="B5566" t="str">
        <f>"EHPAD ALAIN ET JEAN CRAPEZ"</f>
        <v>EHPAD ALAIN ET JEAN CRAPEZ</v>
      </c>
      <c r="C5566" t="s">
        <v>78</v>
      </c>
    </row>
    <row r="5567" spans="1:3" x14ac:dyDescent="0.25">
      <c r="A5567" t="str">
        <f>"720004142"</f>
        <v>720004142</v>
      </c>
      <c r="B5567" t="str">
        <f>"EHPAD ST RAPHAEL"</f>
        <v>EHPAD ST RAPHAEL</v>
      </c>
      <c r="C5567" t="s">
        <v>78</v>
      </c>
    </row>
    <row r="5568" spans="1:3" x14ac:dyDescent="0.25">
      <c r="A5568" t="str">
        <f>"720004175"</f>
        <v>720004175</v>
      </c>
      <c r="B5568" t="str">
        <f>"EHPAD LA PROVIDENCE"</f>
        <v>EHPAD LA PROVIDENCE</v>
      </c>
      <c r="C5568" t="s">
        <v>78</v>
      </c>
    </row>
    <row r="5569" spans="1:3" x14ac:dyDescent="0.25">
      <c r="A5569" t="str">
        <f>"720005958"</f>
        <v>720005958</v>
      </c>
      <c r="B5569" t="str">
        <f>"EHPAD FRERE ANDRE"</f>
        <v>EHPAD FRERE ANDRE</v>
      </c>
      <c r="C5569" t="s">
        <v>78</v>
      </c>
    </row>
    <row r="5570" spans="1:3" x14ac:dyDescent="0.25">
      <c r="A5570" t="str">
        <f>"720005982"</f>
        <v>720005982</v>
      </c>
      <c r="B5570" t="str">
        <f>"EHPAD LA PROVIDENCE"</f>
        <v>EHPAD LA PROVIDENCE</v>
      </c>
      <c r="C5570" t="s">
        <v>78</v>
      </c>
    </row>
    <row r="5571" spans="1:3" x14ac:dyDescent="0.25">
      <c r="A5571" t="str">
        <f>"720006006"</f>
        <v>720006006</v>
      </c>
      <c r="B5571" t="str">
        <f>"EHPAD MAISON RETRAITE CH ST CALAIS"</f>
        <v>EHPAD MAISON RETRAITE CH ST CALAIS</v>
      </c>
      <c r="C5571" t="s">
        <v>78</v>
      </c>
    </row>
    <row r="5572" spans="1:3" x14ac:dyDescent="0.25">
      <c r="A5572" t="str">
        <f>"720006550"</f>
        <v>720006550</v>
      </c>
      <c r="B5572" t="str">
        <f>"EHPAD LA DIVE"</f>
        <v>EHPAD LA DIVE</v>
      </c>
      <c r="C5572" t="s">
        <v>78</v>
      </c>
    </row>
    <row r="5573" spans="1:3" x14ac:dyDescent="0.25">
      <c r="A5573" t="str">
        <f>"720006790"</f>
        <v>720006790</v>
      </c>
      <c r="B5573" t="str">
        <f>"EHPAD LA REPOSANCE"</f>
        <v>EHPAD LA REPOSANCE</v>
      </c>
      <c r="C5573" t="s">
        <v>78</v>
      </c>
    </row>
    <row r="5574" spans="1:3" x14ac:dyDescent="0.25">
      <c r="A5574" t="str">
        <f>"720007087"</f>
        <v>720007087</v>
      </c>
      <c r="B5574" t="str">
        <f>"EHPAD LA PETITE BRUYERE"</f>
        <v>EHPAD LA PETITE BRUYERE</v>
      </c>
      <c r="C5574" t="s">
        <v>78</v>
      </c>
    </row>
    <row r="5575" spans="1:3" x14ac:dyDescent="0.25">
      <c r="A5575" t="str">
        <f>"720007111"</f>
        <v>720007111</v>
      </c>
      <c r="B5575" t="str">
        <f>"EHPAD CEGVS"</f>
        <v>EHPAD CEGVS</v>
      </c>
      <c r="C5575" t="s">
        <v>78</v>
      </c>
    </row>
    <row r="5576" spans="1:3" x14ac:dyDescent="0.25">
      <c r="A5576" t="str">
        <f>"720007228"</f>
        <v>720007228</v>
      </c>
      <c r="B5576" t="str">
        <f>"EHPAD ALBERT TROTTE"</f>
        <v>EHPAD ALBERT TROTTE</v>
      </c>
      <c r="C5576" t="s">
        <v>78</v>
      </c>
    </row>
    <row r="5577" spans="1:3" x14ac:dyDescent="0.25">
      <c r="A5577" t="str">
        <f>"720008093"</f>
        <v>720008093</v>
      </c>
      <c r="B5577" t="str">
        <f>"EHPAD BEAULIEU"</f>
        <v>EHPAD BEAULIEU</v>
      </c>
      <c r="C5577" t="s">
        <v>78</v>
      </c>
    </row>
    <row r="5578" spans="1:3" x14ac:dyDescent="0.25">
      <c r="A5578" t="str">
        <f>"720008101"</f>
        <v>720008101</v>
      </c>
      <c r="B5578" t="str">
        <f>"EHPAD LE SEQUOIA"</f>
        <v>EHPAD LE SEQUOIA</v>
      </c>
      <c r="C5578" t="s">
        <v>78</v>
      </c>
    </row>
    <row r="5579" spans="1:3" x14ac:dyDescent="0.25">
      <c r="A5579" t="str">
        <f>"720008135"</f>
        <v>720008135</v>
      </c>
      <c r="B5579" t="str">
        <f>"EHPAD ST VINCENT DE PAUL"</f>
        <v>EHPAD ST VINCENT DE PAUL</v>
      </c>
      <c r="C5579" t="s">
        <v>78</v>
      </c>
    </row>
    <row r="5580" spans="1:3" x14ac:dyDescent="0.25">
      <c r="A5580" t="str">
        <f>"720008580"</f>
        <v>720008580</v>
      </c>
      <c r="B5580" t="str">
        <f>"EHPAD JULES BERARD DE BONNIERE"</f>
        <v>EHPAD JULES BERARD DE BONNIERE</v>
      </c>
      <c r="C5580" t="s">
        <v>78</v>
      </c>
    </row>
    <row r="5581" spans="1:3" x14ac:dyDescent="0.25">
      <c r="A5581" t="str">
        <f>"720009844"</f>
        <v>720009844</v>
      </c>
      <c r="B5581" t="str">
        <f>"EHPAD JOLIOT CURIE"</f>
        <v>EHPAD JOLIOT CURIE</v>
      </c>
      <c r="C5581" t="s">
        <v>78</v>
      </c>
    </row>
    <row r="5582" spans="1:3" x14ac:dyDescent="0.25">
      <c r="A5582" t="str">
        <f>"720011154"</f>
        <v>720011154</v>
      </c>
      <c r="B5582" t="str">
        <f>"EHPAD SAINT JULIEN"</f>
        <v>EHPAD SAINT JULIEN</v>
      </c>
      <c r="C5582" t="s">
        <v>78</v>
      </c>
    </row>
    <row r="5583" spans="1:3" x14ac:dyDescent="0.25">
      <c r="A5583" t="str">
        <f>"720011758"</f>
        <v>720011758</v>
      </c>
      <c r="B5583" t="str">
        <f>"EHPAD PHGNS LES TILLEULS"</f>
        <v>EHPAD PHGNS LES TILLEULS</v>
      </c>
      <c r="C5583" t="s">
        <v>78</v>
      </c>
    </row>
    <row r="5584" spans="1:3" x14ac:dyDescent="0.25">
      <c r="A5584" t="str">
        <f>"720011766"</f>
        <v>720011766</v>
      </c>
      <c r="B5584" t="str">
        <f>"EHPAD LA MARTINIERE"</f>
        <v>EHPAD LA MARTINIERE</v>
      </c>
      <c r="C5584" t="s">
        <v>78</v>
      </c>
    </row>
    <row r="5585" spans="1:3" x14ac:dyDescent="0.25">
      <c r="A5585" t="str">
        <f>"720011782"</f>
        <v>720011782</v>
      </c>
      <c r="B5585" t="str">
        <f>"EHPAD LA MAISON DU REPOS CH ST CALAIS"</f>
        <v>EHPAD LA MAISON DU REPOS CH ST CALAIS</v>
      </c>
      <c r="C5585" t="s">
        <v>78</v>
      </c>
    </row>
    <row r="5586" spans="1:3" x14ac:dyDescent="0.25">
      <c r="A5586" t="str">
        <f>"720011899"</f>
        <v>720011899</v>
      </c>
      <c r="B5586" t="str">
        <f>"EHPAD LA CHANTERIE"</f>
        <v>EHPAD LA CHANTERIE</v>
      </c>
      <c r="C5586" t="s">
        <v>78</v>
      </c>
    </row>
    <row r="5587" spans="1:3" x14ac:dyDescent="0.25">
      <c r="A5587" t="str">
        <f>"720011915"</f>
        <v>720011915</v>
      </c>
      <c r="B5587" t="str">
        <f>"EHPAD ARC EN CIEL DU PERCHE SAOSNOIS"</f>
        <v>EHPAD ARC EN CIEL DU PERCHE SAOSNOIS</v>
      </c>
      <c r="C5587" t="s">
        <v>78</v>
      </c>
    </row>
    <row r="5588" spans="1:3" x14ac:dyDescent="0.25">
      <c r="A5588" t="str">
        <f>"720011980"</f>
        <v>720011980</v>
      </c>
      <c r="B5588" t="str">
        <f>"EHPAD LES TEREBINTHES"</f>
        <v>EHPAD LES TEREBINTHES</v>
      </c>
      <c r="C5588" t="s">
        <v>78</v>
      </c>
    </row>
    <row r="5589" spans="1:3" x14ac:dyDescent="0.25">
      <c r="A5589" t="str">
        <f>"720012178"</f>
        <v>720012178</v>
      </c>
      <c r="B5589" t="str">
        <f>"EHPAD LA PLEIADE"</f>
        <v>EHPAD LA PLEIADE</v>
      </c>
      <c r="C5589" t="s">
        <v>78</v>
      </c>
    </row>
    <row r="5590" spans="1:3" x14ac:dyDescent="0.25">
      <c r="A5590" t="str">
        <f>"720012186"</f>
        <v>720012186</v>
      </c>
      <c r="B5590" t="str">
        <f>"EHPAD PAUL CHAPRON"</f>
        <v>EHPAD PAUL CHAPRON</v>
      </c>
      <c r="C5590" t="s">
        <v>78</v>
      </c>
    </row>
    <row r="5591" spans="1:3" x14ac:dyDescent="0.25">
      <c r="A5591" t="str">
        <f>"720012202"</f>
        <v>720012202</v>
      </c>
      <c r="B5591" t="str">
        <f>"EHPAD CHIC POLE SANTE SARTHE ET LOIR"</f>
        <v>EHPAD CHIC POLE SANTE SARTHE ET LOIR</v>
      </c>
      <c r="C5591" t="s">
        <v>78</v>
      </c>
    </row>
    <row r="5592" spans="1:3" x14ac:dyDescent="0.25">
      <c r="A5592" t="str">
        <f>"720012293"</f>
        <v>720012293</v>
      </c>
      <c r="B5592" t="str">
        <f>"EHPAD PHGNS BONNETABLE"</f>
        <v>EHPAD PHGNS BONNETABLE</v>
      </c>
      <c r="C5592" t="s">
        <v>78</v>
      </c>
    </row>
    <row r="5593" spans="1:3" x14ac:dyDescent="0.25">
      <c r="A5593" t="str">
        <f>"720013119"</f>
        <v>720013119</v>
      </c>
      <c r="B5593" t="str">
        <f>"EHPAD DE L'ABBAYE"</f>
        <v>EHPAD DE L'ABBAYE</v>
      </c>
      <c r="C5593" t="s">
        <v>78</v>
      </c>
    </row>
    <row r="5594" spans="1:3" x14ac:dyDescent="0.25">
      <c r="A5594" t="str">
        <f>"720013309"</f>
        <v>720013309</v>
      </c>
      <c r="B5594" t="str">
        <f>"EHPAD L'OREE DES PINS"</f>
        <v>EHPAD L'OREE DES PINS</v>
      </c>
      <c r="C5594" t="s">
        <v>78</v>
      </c>
    </row>
    <row r="5595" spans="1:3" x14ac:dyDescent="0.25">
      <c r="A5595" t="str">
        <f>"720013390"</f>
        <v>720013390</v>
      </c>
      <c r="B5595" t="str">
        <f>"EHPAD RESIDENCE DU PARC"</f>
        <v>EHPAD RESIDENCE DU PARC</v>
      </c>
      <c r="C5595" t="s">
        <v>78</v>
      </c>
    </row>
    <row r="5596" spans="1:3" x14ac:dyDescent="0.25">
      <c r="A5596" t="str">
        <f>"720013416"</f>
        <v>720013416</v>
      </c>
      <c r="B5596" t="str">
        <f>"EHPAD LES FOYERS DE LA FUIE"</f>
        <v>EHPAD LES FOYERS DE LA FUIE</v>
      </c>
      <c r="C5596" t="s">
        <v>78</v>
      </c>
    </row>
    <row r="5597" spans="1:3" x14ac:dyDescent="0.25">
      <c r="A5597" t="str">
        <f>"720013572"</f>
        <v>720013572</v>
      </c>
      <c r="B5597" t="str">
        <f>"EHPAD LES LYS"</f>
        <v>EHPAD LES LYS</v>
      </c>
      <c r="C5597" t="s">
        <v>78</v>
      </c>
    </row>
    <row r="5598" spans="1:3" x14ac:dyDescent="0.25">
      <c r="A5598" t="str">
        <f>"720013580"</f>
        <v>720013580</v>
      </c>
      <c r="B5598" t="str">
        <f>"EHPAD CH FRANCOIS DE DAILLON"</f>
        <v>EHPAD CH FRANCOIS DE DAILLON</v>
      </c>
      <c r="C5598" t="s">
        <v>78</v>
      </c>
    </row>
    <row r="5599" spans="1:3" x14ac:dyDescent="0.25">
      <c r="A5599" t="str">
        <f>"720013598"</f>
        <v>720013598</v>
      </c>
      <c r="B5599" t="str">
        <f>"EHPAD LE PRIEURE"</f>
        <v>EHPAD LE PRIEURE</v>
      </c>
      <c r="C5599" t="s">
        <v>78</v>
      </c>
    </row>
    <row r="5600" spans="1:3" x14ac:dyDescent="0.25">
      <c r="A5600" t="str">
        <f>"720013622"</f>
        <v>720013622</v>
      </c>
      <c r="B5600" t="str">
        <f>"EHPAD JEAN JAURES"</f>
        <v>EHPAD JEAN JAURES</v>
      </c>
      <c r="C5600" t="s">
        <v>78</v>
      </c>
    </row>
    <row r="5601" spans="1:3" x14ac:dyDescent="0.25">
      <c r="A5601" t="str">
        <f>"720013648"</f>
        <v>720013648</v>
      </c>
      <c r="B5601" t="str">
        <f>"EHPAD LE FOULON"</f>
        <v>EHPAD LE FOULON</v>
      </c>
      <c r="C5601" t="s">
        <v>78</v>
      </c>
    </row>
    <row r="5602" spans="1:3" x14ac:dyDescent="0.25">
      <c r="A5602" t="str">
        <f>"720013663"</f>
        <v>720013663</v>
      </c>
      <c r="B5602" t="str">
        <f>"EHPAD KORIAN ARTEMIS"</f>
        <v>EHPAD KORIAN ARTEMIS</v>
      </c>
      <c r="C5602" t="s">
        <v>78</v>
      </c>
    </row>
    <row r="5603" spans="1:3" x14ac:dyDescent="0.25">
      <c r="A5603" t="str">
        <f>"720014067"</f>
        <v>720014067</v>
      </c>
      <c r="B5603" t="str">
        <f>"EHPAD EUGENE AUJALEU"</f>
        <v>EHPAD EUGENE AUJALEU</v>
      </c>
      <c r="C5603" t="s">
        <v>78</v>
      </c>
    </row>
    <row r="5604" spans="1:3" x14ac:dyDescent="0.25">
      <c r="A5604" t="str">
        <f>"720014075"</f>
        <v>720014075</v>
      </c>
      <c r="B5604" t="str">
        <f>"EHPAD LES TROIS VALLEES"</f>
        <v>EHPAD LES TROIS VALLEES</v>
      </c>
      <c r="C5604" t="s">
        <v>78</v>
      </c>
    </row>
    <row r="5605" spans="1:3" x14ac:dyDescent="0.25">
      <c r="A5605" t="str">
        <f>"720014109"</f>
        <v>720014109</v>
      </c>
      <c r="B5605" t="str">
        <f>"EHPAD LE CHAMP DE L'ORMEAU"</f>
        <v>EHPAD LE CHAMP DE L'ORMEAU</v>
      </c>
      <c r="C5605" t="s">
        <v>78</v>
      </c>
    </row>
    <row r="5606" spans="1:3" x14ac:dyDescent="0.25">
      <c r="A5606" t="str">
        <f>"720014471"</f>
        <v>720014471</v>
      </c>
      <c r="B5606" t="str">
        <f>"EHPAD LE MONTHEARD"</f>
        <v>EHPAD LE MONTHEARD</v>
      </c>
      <c r="C5606" t="s">
        <v>78</v>
      </c>
    </row>
    <row r="5607" spans="1:3" x14ac:dyDescent="0.25">
      <c r="A5607" t="str">
        <f>"720014489"</f>
        <v>720014489</v>
      </c>
      <c r="B5607" t="str">
        <f>"EHPAD LES ROCHES"</f>
        <v>EHPAD LES ROCHES</v>
      </c>
      <c r="C5607" t="s">
        <v>78</v>
      </c>
    </row>
    <row r="5608" spans="1:3" x14ac:dyDescent="0.25">
      <c r="A5608" t="str">
        <f>"720014679"</f>
        <v>720014679</v>
      </c>
      <c r="B5608" t="str">
        <f>"EHPAD LES MARAICHERS"</f>
        <v>EHPAD LES MARAICHERS</v>
      </c>
      <c r="C5608" t="s">
        <v>78</v>
      </c>
    </row>
    <row r="5609" spans="1:3" x14ac:dyDescent="0.25">
      <c r="A5609" t="str">
        <f>"720015759"</f>
        <v>720015759</v>
      </c>
      <c r="B5609" t="str">
        <f>"EHPAD PHGNS BEAUMONT SUR SARTHE"</f>
        <v>EHPAD PHGNS BEAUMONT SUR SARTHE</v>
      </c>
      <c r="C5609" t="s">
        <v>78</v>
      </c>
    </row>
    <row r="5610" spans="1:3" x14ac:dyDescent="0.25">
      <c r="A5610" t="str">
        <f>"720016419"</f>
        <v>720016419</v>
      </c>
      <c r="B5610" t="str">
        <f>"EHPAD KORIAN PONTLIEUE"</f>
        <v>EHPAD KORIAN PONTLIEUE</v>
      </c>
      <c r="C5610" t="s">
        <v>78</v>
      </c>
    </row>
    <row r="5611" spans="1:3" x14ac:dyDescent="0.25">
      <c r="A5611" t="str">
        <f>"720016542"</f>
        <v>720016542</v>
      </c>
      <c r="B5611" t="str">
        <f>"EHPAD KORIAN BOLLEE CHANZY"</f>
        <v>EHPAD KORIAN BOLLEE CHANZY</v>
      </c>
      <c r="C5611" t="s">
        <v>78</v>
      </c>
    </row>
    <row r="5612" spans="1:3" x14ac:dyDescent="0.25">
      <c r="A5612" t="str">
        <f>"720016682"</f>
        <v>720016682</v>
      </c>
      <c r="B5612" t="str">
        <f>"EHPAD DUJARIE"</f>
        <v>EHPAD DUJARIE</v>
      </c>
      <c r="C5612" t="s">
        <v>78</v>
      </c>
    </row>
    <row r="5613" spans="1:3" x14ac:dyDescent="0.25">
      <c r="A5613" t="str">
        <f>"720017565"</f>
        <v>720017565</v>
      </c>
      <c r="B5613" t="str">
        <f>"EHPAD BERENGERE"</f>
        <v>EHPAD BERENGERE</v>
      </c>
      <c r="C5613" t="s">
        <v>78</v>
      </c>
    </row>
    <row r="5614" spans="1:3" x14ac:dyDescent="0.25">
      <c r="A5614" t="str">
        <f>"720017573"</f>
        <v>720017573</v>
      </c>
      <c r="B5614" t="str">
        <f>"EHPAD ORPEA LES SABLONS"</f>
        <v>EHPAD ORPEA LES SABLONS</v>
      </c>
      <c r="C5614" t="s">
        <v>78</v>
      </c>
    </row>
    <row r="5615" spans="1:3" x14ac:dyDescent="0.25">
      <c r="A5615" t="str">
        <f>"720017581"</f>
        <v>720017581</v>
      </c>
      <c r="B5615" t="str">
        <f>"EHPAD LA SOUVENANCE"</f>
        <v>EHPAD LA SOUVENANCE</v>
      </c>
      <c r="C5615" t="s">
        <v>78</v>
      </c>
    </row>
    <row r="5616" spans="1:3" x14ac:dyDescent="0.25">
      <c r="A5616" t="str">
        <f>"720018373"</f>
        <v>720018373</v>
      </c>
      <c r="B5616" t="str">
        <f>"EHPAD LA ROSE DES VENTS"</f>
        <v>EHPAD LA ROSE DES VENTS</v>
      </c>
      <c r="C5616" t="s">
        <v>78</v>
      </c>
    </row>
    <row r="5617" spans="1:3" x14ac:dyDescent="0.25">
      <c r="A5617" t="str">
        <f>"720018415"</f>
        <v>720018415</v>
      </c>
      <c r="B5617" t="str">
        <f>"EHPAD CENTRE HOSPITALIER LE MANS"</f>
        <v>EHPAD CENTRE HOSPITALIER LE MANS</v>
      </c>
      <c r="C5617" t="s">
        <v>78</v>
      </c>
    </row>
    <row r="5618" spans="1:3" x14ac:dyDescent="0.25">
      <c r="A5618" t="str">
        <f>"720018423"</f>
        <v>720018423</v>
      </c>
      <c r="B5618" t="str">
        <f>"EHPAD CHM SITE ALLONNES"</f>
        <v>EHPAD CHM SITE ALLONNES</v>
      </c>
      <c r="C5618" t="s">
        <v>78</v>
      </c>
    </row>
    <row r="5619" spans="1:3" x14ac:dyDescent="0.25">
      <c r="A5619" t="str">
        <f>"720018753"</f>
        <v>720018753</v>
      </c>
      <c r="B5619" t="str">
        <f>"EHPAD DE MAMERS"</f>
        <v>EHPAD DE MAMERS</v>
      </c>
      <c r="C5619" t="s">
        <v>78</v>
      </c>
    </row>
    <row r="5620" spans="1:3" x14ac:dyDescent="0.25">
      <c r="A5620" t="str">
        <f>"720020411"</f>
        <v>720020411</v>
      </c>
      <c r="B5620" t="str">
        <f>"EHPAD SAINT SATURNIN"</f>
        <v>EHPAD SAINT SATURNIN</v>
      </c>
      <c r="C5620" t="s">
        <v>78</v>
      </c>
    </row>
    <row r="5621" spans="1:3" x14ac:dyDescent="0.25">
      <c r="A5621" t="str">
        <f>"730000692"</f>
        <v>730000692</v>
      </c>
      <c r="B5621" t="str">
        <f>"EHPAD LA NIVEOLE"</f>
        <v>EHPAD LA NIVEOLE</v>
      </c>
      <c r="C5621" t="s">
        <v>61</v>
      </c>
    </row>
    <row r="5622" spans="1:3" x14ac:dyDescent="0.25">
      <c r="A5622" t="str">
        <f>"730001229"</f>
        <v>730001229</v>
      </c>
      <c r="B5622" t="str">
        <f>"EHPAD LE CLOS ST-JOSEPH"</f>
        <v>EHPAD LE CLOS ST-JOSEPH</v>
      </c>
      <c r="C5622" t="s">
        <v>61</v>
      </c>
    </row>
    <row r="5623" spans="1:3" x14ac:dyDescent="0.25">
      <c r="A5623" t="str">
        <f>"730001278"</f>
        <v>730001278</v>
      </c>
      <c r="B5623" t="str">
        <f>"EHPAD LES GRILLONS"</f>
        <v>EHPAD LES GRILLONS</v>
      </c>
      <c r="C5623" t="s">
        <v>61</v>
      </c>
    </row>
    <row r="5624" spans="1:3" x14ac:dyDescent="0.25">
      <c r="A5624" t="str">
        <f>"730002938"</f>
        <v>730002938</v>
      </c>
      <c r="B5624" t="str">
        <f>"EHPAD RESIDENCE DU PARC"</f>
        <v>EHPAD RESIDENCE DU PARC</v>
      </c>
      <c r="C5624" t="s">
        <v>61</v>
      </c>
    </row>
    <row r="5625" spans="1:3" x14ac:dyDescent="0.25">
      <c r="A5625" t="str">
        <f>"730004678"</f>
        <v>730004678</v>
      </c>
      <c r="B5625" t="str">
        <f>"EHPAD NOTRE DAME DES VIGNES"</f>
        <v>EHPAD NOTRE DAME DES VIGNES</v>
      </c>
      <c r="C5625" t="s">
        <v>61</v>
      </c>
    </row>
    <row r="5626" spans="1:3" x14ac:dyDescent="0.25">
      <c r="A5626" t="str">
        <f>"730005048"</f>
        <v>730005048</v>
      </c>
      <c r="B5626" t="str">
        <f>"EHPAD COROLLE"</f>
        <v>EHPAD COROLLE</v>
      </c>
      <c r="C5626" t="s">
        <v>61</v>
      </c>
    </row>
    <row r="5627" spans="1:3" x14ac:dyDescent="0.25">
      <c r="A5627" t="str">
        <f>"730005469"</f>
        <v>730005469</v>
      </c>
      <c r="B5627" t="str">
        <f>"EHPAD LES TERRASSES DE REINACH"</f>
        <v>EHPAD LES TERRASSES DE REINACH</v>
      </c>
      <c r="C5627" t="s">
        <v>61</v>
      </c>
    </row>
    <row r="5628" spans="1:3" x14ac:dyDescent="0.25">
      <c r="A5628" t="str">
        <f>"730005519"</f>
        <v>730005519</v>
      </c>
      <c r="B5628" t="str">
        <f>"EHPAD LA QUIETUDE"</f>
        <v>EHPAD LA QUIETUDE</v>
      </c>
      <c r="C5628" t="s">
        <v>61</v>
      </c>
    </row>
    <row r="5629" spans="1:3" x14ac:dyDescent="0.25">
      <c r="A5629" t="str">
        <f>"730006079"</f>
        <v>730006079</v>
      </c>
      <c r="B5629" t="str">
        <f>"EHPAD LES CLEMATIS"</f>
        <v>EHPAD LES CLEMATIS</v>
      </c>
      <c r="C5629" t="s">
        <v>61</v>
      </c>
    </row>
    <row r="5630" spans="1:3" x14ac:dyDescent="0.25">
      <c r="A5630" t="str">
        <f>"730006228"</f>
        <v>730006228</v>
      </c>
      <c r="B5630" t="str">
        <f>"EHPAD RESIDENCE BEATRICE"</f>
        <v>EHPAD RESIDENCE BEATRICE</v>
      </c>
      <c r="C5630" t="s">
        <v>61</v>
      </c>
    </row>
    <row r="5631" spans="1:3" x14ac:dyDescent="0.25">
      <c r="A5631" t="str">
        <f>"730006368"</f>
        <v>730006368</v>
      </c>
      <c r="B5631" t="str">
        <f>"EHPAD LA MONFERINE"</f>
        <v>EHPAD LA MONFERINE</v>
      </c>
      <c r="C5631" t="s">
        <v>61</v>
      </c>
    </row>
    <row r="5632" spans="1:3" x14ac:dyDescent="0.25">
      <c r="A5632" t="str">
        <f>"730007549"</f>
        <v>730007549</v>
      </c>
      <c r="B5632" t="str">
        <f>"EHPAD AU FIL DU TEMPS"</f>
        <v>EHPAD AU FIL DU TEMPS</v>
      </c>
      <c r="C5632" t="s">
        <v>61</v>
      </c>
    </row>
    <row r="5633" spans="1:3" x14ac:dyDescent="0.25">
      <c r="A5633" t="str">
        <f>"730008018"</f>
        <v>730008018</v>
      </c>
      <c r="B5633" t="str">
        <f>"EHPAD FLOREAL"</f>
        <v>EHPAD FLOREAL</v>
      </c>
      <c r="C5633" t="s">
        <v>61</v>
      </c>
    </row>
    <row r="5634" spans="1:3" x14ac:dyDescent="0.25">
      <c r="A5634" t="str">
        <f>"730008208"</f>
        <v>730008208</v>
      </c>
      <c r="B5634" t="str">
        <f>"EHPAD LES BERGES DE L'HYERE"</f>
        <v>EHPAD LES BERGES DE L'HYERE</v>
      </c>
      <c r="C5634" t="s">
        <v>61</v>
      </c>
    </row>
    <row r="5635" spans="1:3" x14ac:dyDescent="0.25">
      <c r="A5635" t="str">
        <f>"730009420"</f>
        <v>730009420</v>
      </c>
      <c r="B5635" t="str">
        <f>"EHPAD KORIAN FONTAINE SAINT MARTIN"</f>
        <v>EHPAD KORIAN FONTAINE SAINT MARTIN</v>
      </c>
      <c r="C5635" t="s">
        <v>61</v>
      </c>
    </row>
    <row r="5636" spans="1:3" x14ac:dyDescent="0.25">
      <c r="A5636" t="str">
        <f>"730009511"</f>
        <v>730009511</v>
      </c>
      <c r="B5636" t="str">
        <f>"EHPAD LE CLOS FLEURI"</f>
        <v>EHPAD LE CLOS FLEURI</v>
      </c>
      <c r="C5636" t="s">
        <v>61</v>
      </c>
    </row>
    <row r="5637" spans="1:3" x14ac:dyDescent="0.25">
      <c r="A5637" t="str">
        <f>"730009719"</f>
        <v>730009719</v>
      </c>
      <c r="B5637" t="str">
        <f>"EHPAD L'ARBE"</f>
        <v>EHPAD L'ARBE</v>
      </c>
      <c r="C5637" t="s">
        <v>61</v>
      </c>
    </row>
    <row r="5638" spans="1:3" x14ac:dyDescent="0.25">
      <c r="A5638" t="str">
        <f>"730009818"</f>
        <v>730009818</v>
      </c>
      <c r="B5638" t="str">
        <f>"EHPAD DU LAC D'AIGUEBELETTE"</f>
        <v>EHPAD DU LAC D'AIGUEBELETTE</v>
      </c>
      <c r="C5638" t="s">
        <v>61</v>
      </c>
    </row>
    <row r="5639" spans="1:3" x14ac:dyDescent="0.25">
      <c r="A5639" t="str">
        <f>"730010329"</f>
        <v>730010329</v>
      </c>
      <c r="B5639" t="str">
        <f>"EHPAD LES CHARMILLES"</f>
        <v>EHPAD LES CHARMILLES</v>
      </c>
      <c r="C5639" t="s">
        <v>61</v>
      </c>
    </row>
    <row r="5640" spans="1:3" x14ac:dyDescent="0.25">
      <c r="A5640" t="str">
        <f>"730010352"</f>
        <v>730010352</v>
      </c>
      <c r="B5640" t="str">
        <f>"EHPAD LES FONTANETTES"</f>
        <v>EHPAD LES FONTANETTES</v>
      </c>
      <c r="C5640" t="s">
        <v>61</v>
      </c>
    </row>
    <row r="5641" spans="1:3" x14ac:dyDescent="0.25">
      <c r="A5641" t="str">
        <f>"730780079"</f>
        <v>730780079</v>
      </c>
      <c r="B5641" t="str">
        <f>"EHPAD DE YENNE"</f>
        <v>EHPAD DE YENNE</v>
      </c>
      <c r="C5641" t="s">
        <v>61</v>
      </c>
    </row>
    <row r="5642" spans="1:3" x14ac:dyDescent="0.25">
      <c r="A5642" t="str">
        <f>"730780095"</f>
        <v>730780095</v>
      </c>
      <c r="B5642" t="str">
        <f>"EHPAD LES JARDINS DE MARLIOZ"</f>
        <v>EHPAD LES JARDINS DE MARLIOZ</v>
      </c>
      <c r="C5642" t="s">
        <v>61</v>
      </c>
    </row>
    <row r="5643" spans="1:3" x14ac:dyDescent="0.25">
      <c r="A5643" t="str">
        <f>"730780442"</f>
        <v>730780442</v>
      </c>
      <c r="B5643" t="str">
        <f>"EHPAD DU CH DE BOURG SAINT MAURICE"</f>
        <v>EHPAD DU CH DE BOURG SAINT MAURICE</v>
      </c>
      <c r="C5643" t="s">
        <v>61</v>
      </c>
    </row>
    <row r="5644" spans="1:3" x14ac:dyDescent="0.25">
      <c r="A5644" t="str">
        <f>"730780509"</f>
        <v>730780509</v>
      </c>
      <c r="B5644" t="str">
        <f>"EHPAD FOYER NOTRE DAME"</f>
        <v>EHPAD FOYER NOTRE DAME</v>
      </c>
      <c r="C5644" t="s">
        <v>61</v>
      </c>
    </row>
    <row r="5645" spans="1:3" x14ac:dyDescent="0.25">
      <c r="A5645" t="str">
        <f>"730780608"</f>
        <v>730780608</v>
      </c>
      <c r="B5645" t="str">
        <f>"EHPAD 'LES BELLES SAISONS'"</f>
        <v>EHPAD 'LES BELLES SAISONS'</v>
      </c>
      <c r="C5645" t="s">
        <v>61</v>
      </c>
    </row>
    <row r="5646" spans="1:3" x14ac:dyDescent="0.25">
      <c r="A5646" t="str">
        <f>"730780616"</f>
        <v>730780616</v>
      </c>
      <c r="B5646" t="str">
        <f>"EHPAD LUCIEN AVOCAT"</f>
        <v>EHPAD LUCIEN AVOCAT</v>
      </c>
      <c r="C5646" t="s">
        <v>61</v>
      </c>
    </row>
    <row r="5647" spans="1:3" x14ac:dyDescent="0.25">
      <c r="A5647" t="str">
        <f>"730780624"</f>
        <v>730780624</v>
      </c>
      <c r="B5647" t="str">
        <f>"EHPAD  MARIN LAMELLET"</f>
        <v>EHPAD  MARIN LAMELLET</v>
      </c>
      <c r="C5647" t="s">
        <v>61</v>
      </c>
    </row>
    <row r="5648" spans="1:3" x14ac:dyDescent="0.25">
      <c r="A5648" t="str">
        <f>"730780632"</f>
        <v>730780632</v>
      </c>
      <c r="B5648" t="str">
        <f>"EHPAD LES CURTINES"</f>
        <v>EHPAD LES CURTINES</v>
      </c>
      <c r="C5648" t="s">
        <v>61</v>
      </c>
    </row>
    <row r="5649" spans="1:3" x14ac:dyDescent="0.25">
      <c r="A5649" t="str">
        <f>"730783578"</f>
        <v>730783578</v>
      </c>
      <c r="B5649" t="str">
        <f>"EHPAD CESALET DESSUS - DESSOUS"</f>
        <v>EHPAD CESALET DESSUS - DESSOUS</v>
      </c>
      <c r="C5649" t="s">
        <v>61</v>
      </c>
    </row>
    <row r="5650" spans="1:3" x14ac:dyDescent="0.25">
      <c r="A5650" t="str">
        <f>"730783636"</f>
        <v>730783636</v>
      </c>
      <c r="B5650" t="str">
        <f>"EHPAD LE BOIS LAMARTINE"</f>
        <v>EHPAD LE BOIS LAMARTINE</v>
      </c>
      <c r="C5650" t="s">
        <v>61</v>
      </c>
    </row>
    <row r="5651" spans="1:3" x14ac:dyDescent="0.25">
      <c r="A5651" t="str">
        <f>"730783651"</f>
        <v>730783651</v>
      </c>
      <c r="B5651" t="str">
        <f>"EHPAD CLAUDE LEGER"</f>
        <v>EHPAD CLAUDE LEGER</v>
      </c>
      <c r="C5651" t="s">
        <v>61</v>
      </c>
    </row>
    <row r="5652" spans="1:3" x14ac:dyDescent="0.25">
      <c r="A5652" t="str">
        <f>"730783917"</f>
        <v>730783917</v>
      </c>
      <c r="B5652" t="str">
        <f>"EHPAD  SAINT BENOIT"</f>
        <v>EHPAD  SAINT BENOIT</v>
      </c>
      <c r="C5652" t="s">
        <v>61</v>
      </c>
    </row>
    <row r="5653" spans="1:3" x14ac:dyDescent="0.25">
      <c r="A5653" t="str">
        <f>"730783925"</f>
        <v>730783925</v>
      </c>
      <c r="B5653" t="str">
        <f>"EHPAD LA CENTAUREE"</f>
        <v>EHPAD LA CENTAUREE</v>
      </c>
      <c r="C5653" t="s">
        <v>61</v>
      </c>
    </row>
    <row r="5654" spans="1:3" x14ac:dyDescent="0.25">
      <c r="A5654" t="str">
        <f>"730783982"</f>
        <v>730783982</v>
      </c>
      <c r="B5654" t="str">
        <f>"EHPAD LA BARTAVELLE"</f>
        <v>EHPAD LA BARTAVELLE</v>
      </c>
      <c r="C5654" t="s">
        <v>61</v>
      </c>
    </row>
    <row r="5655" spans="1:3" x14ac:dyDescent="0.25">
      <c r="A5655" t="str">
        <f>"730785367"</f>
        <v>730785367</v>
      </c>
      <c r="B5655" t="str">
        <f>"EHPAD SITE GRAND PORT"</f>
        <v>EHPAD SITE GRAND PORT</v>
      </c>
      <c r="C5655" t="s">
        <v>61</v>
      </c>
    </row>
    <row r="5656" spans="1:3" x14ac:dyDescent="0.25">
      <c r="A5656" t="str">
        <f>"730785375"</f>
        <v>730785375</v>
      </c>
      <c r="B5656" t="str">
        <f>"EHPAD LA CERISAIE"</f>
        <v>EHPAD LA CERISAIE</v>
      </c>
      <c r="C5656" t="s">
        <v>61</v>
      </c>
    </row>
    <row r="5657" spans="1:3" x14ac:dyDescent="0.25">
      <c r="A5657" t="str">
        <f>"730785383"</f>
        <v>730785383</v>
      </c>
      <c r="B5657" t="str">
        <f>"EHPAD LES TERRASSES DE L'HORLOGE"</f>
        <v>EHPAD LES TERRASSES DE L'HORLOGE</v>
      </c>
      <c r="C5657" t="s">
        <v>61</v>
      </c>
    </row>
    <row r="5658" spans="1:3" x14ac:dyDescent="0.25">
      <c r="A5658" t="str">
        <f>"730785391"</f>
        <v>730785391</v>
      </c>
      <c r="B5658" t="str">
        <f>"EHPAD LES MARMOTTES"</f>
        <v>EHPAD LES MARMOTTES</v>
      </c>
      <c r="C5658" t="s">
        <v>61</v>
      </c>
    </row>
    <row r="5659" spans="1:3" x14ac:dyDescent="0.25">
      <c r="A5659" t="str">
        <f>"730785417"</f>
        <v>730785417</v>
      </c>
      <c r="B5659" t="str">
        <f>"EHPAD SAINT ANTOINE"</f>
        <v>EHPAD SAINT ANTOINE</v>
      </c>
      <c r="C5659" t="s">
        <v>61</v>
      </c>
    </row>
    <row r="5660" spans="1:3" x14ac:dyDescent="0.25">
      <c r="A5660" t="str">
        <f>"730785433"</f>
        <v>730785433</v>
      </c>
      <c r="B5660" t="str">
        <f>"EHPAD DE L'ARCLUSAZ"</f>
        <v>EHPAD DE L'ARCLUSAZ</v>
      </c>
      <c r="C5660" t="s">
        <v>61</v>
      </c>
    </row>
    <row r="5661" spans="1:3" x14ac:dyDescent="0.25">
      <c r="A5661" t="str">
        <f>"730785771"</f>
        <v>730785771</v>
      </c>
      <c r="B5661" t="str">
        <f>"EHPAD LES CORDELIERS"</f>
        <v>EHPAD LES CORDELIERS</v>
      </c>
      <c r="C5661" t="s">
        <v>61</v>
      </c>
    </row>
    <row r="5662" spans="1:3" x14ac:dyDescent="0.25">
      <c r="A5662" t="str">
        <f>"730786050"</f>
        <v>730786050</v>
      </c>
      <c r="B5662" t="str">
        <f>"EHPAD  L'ECLAIRCIE"</f>
        <v>EHPAD  L'ECLAIRCIE</v>
      </c>
      <c r="C5662" t="s">
        <v>61</v>
      </c>
    </row>
    <row r="5663" spans="1:3" x14ac:dyDescent="0.25">
      <c r="A5663" t="str">
        <f>"730786076"</f>
        <v>730786076</v>
      </c>
      <c r="B5663" t="str">
        <f>"EHPAD LES BLES D' OR"</f>
        <v>EHPAD LES BLES D' OR</v>
      </c>
      <c r="C5663" t="s">
        <v>61</v>
      </c>
    </row>
    <row r="5664" spans="1:3" x14ac:dyDescent="0.25">
      <c r="A5664" t="str">
        <f>"730789823"</f>
        <v>730789823</v>
      </c>
      <c r="B5664" t="str">
        <f>"EHPAD LES GLYCINES"</f>
        <v>EHPAD LES GLYCINES</v>
      </c>
      <c r="C5664" t="s">
        <v>61</v>
      </c>
    </row>
    <row r="5665" spans="1:3" x14ac:dyDescent="0.25">
      <c r="A5665" t="str">
        <f>"730789864"</f>
        <v>730789864</v>
      </c>
      <c r="B5665" t="str">
        <f>"EHPAD MAISON DES AUGUSTINES"</f>
        <v>EHPAD MAISON DES AUGUSTINES</v>
      </c>
      <c r="C5665" t="s">
        <v>61</v>
      </c>
    </row>
    <row r="5666" spans="1:3" x14ac:dyDescent="0.25">
      <c r="A5666" t="str">
        <f>"730789880"</f>
        <v>730789880</v>
      </c>
      <c r="B5666" t="str">
        <f>"EHPAD LA PROVALIERE"</f>
        <v>EHPAD LA PROVALIERE</v>
      </c>
      <c r="C5666" t="s">
        <v>61</v>
      </c>
    </row>
    <row r="5667" spans="1:3" x14ac:dyDescent="0.25">
      <c r="A5667" t="str">
        <f>"730789906"</f>
        <v>730789906</v>
      </c>
      <c r="B5667" t="str">
        <f>"EHPAD MAURICE PERRIER"</f>
        <v>EHPAD MAURICE PERRIER</v>
      </c>
      <c r="C5667" t="s">
        <v>61</v>
      </c>
    </row>
    <row r="5668" spans="1:3" x14ac:dyDescent="0.25">
      <c r="A5668" t="str">
        <f>"730789930"</f>
        <v>730789930</v>
      </c>
      <c r="B5668" t="str">
        <f>"EHPAD LA MAISON DU SOLEIL"</f>
        <v>EHPAD LA MAISON DU SOLEIL</v>
      </c>
      <c r="C5668" t="s">
        <v>61</v>
      </c>
    </row>
    <row r="5669" spans="1:3" x14ac:dyDescent="0.25">
      <c r="A5669" t="str">
        <f>"730789955"</f>
        <v>730789955</v>
      </c>
      <c r="B5669" t="str">
        <f>"EHPAD FELIX PIGNAL"</f>
        <v>EHPAD FELIX PIGNAL</v>
      </c>
      <c r="C5669" t="s">
        <v>61</v>
      </c>
    </row>
    <row r="5670" spans="1:3" x14ac:dyDescent="0.25">
      <c r="A5670" t="str">
        <f>"730789963"</f>
        <v>730789963</v>
      </c>
      <c r="B5670" t="str">
        <f>"EHPAD LES FLORALIES"</f>
        <v>EHPAD LES FLORALIES</v>
      </c>
      <c r="C5670" t="s">
        <v>61</v>
      </c>
    </row>
    <row r="5671" spans="1:3" x14ac:dyDescent="0.25">
      <c r="A5671" t="str">
        <f>"730789989"</f>
        <v>730789989</v>
      </c>
      <c r="B5671" t="str">
        <f>"EHPAD BEL FONTAINE"</f>
        <v>EHPAD BEL FONTAINE</v>
      </c>
      <c r="C5671" t="s">
        <v>61</v>
      </c>
    </row>
    <row r="5672" spans="1:3" x14ac:dyDescent="0.25">
      <c r="A5672" t="str">
        <f>"730789997"</f>
        <v>730789997</v>
      </c>
      <c r="B5672" t="str">
        <f>"EHPAD LE HOME DU VERNAY"</f>
        <v>EHPAD LE HOME DU VERNAY</v>
      </c>
      <c r="C5672" t="s">
        <v>61</v>
      </c>
    </row>
    <row r="5673" spans="1:3" x14ac:dyDescent="0.25">
      <c r="A5673" t="str">
        <f>"730790003"</f>
        <v>730790003</v>
      </c>
      <c r="B5673" t="str">
        <f>"EHPAD SAINT-SEBASTIEN"</f>
        <v>EHPAD SAINT-SEBASTIEN</v>
      </c>
      <c r="C5673" t="s">
        <v>61</v>
      </c>
    </row>
    <row r="5674" spans="1:3" x14ac:dyDescent="0.25">
      <c r="A5674" t="str">
        <f>"730790318"</f>
        <v>730790318</v>
      </c>
      <c r="B5674" t="str">
        <f>"EHPAD RESIDENCE TIERS TEMPS"</f>
        <v>EHPAD RESIDENCE TIERS TEMPS</v>
      </c>
      <c r="C5674" t="s">
        <v>61</v>
      </c>
    </row>
    <row r="5675" spans="1:3" x14ac:dyDescent="0.25">
      <c r="A5675" t="str">
        <f>"730790698"</f>
        <v>730790698</v>
      </c>
      <c r="B5675" t="str">
        <f>"EHPAD RESIDENCE AGELIA"</f>
        <v>EHPAD RESIDENCE AGELIA</v>
      </c>
      <c r="C5675" t="s">
        <v>61</v>
      </c>
    </row>
    <row r="5676" spans="1:3" x14ac:dyDescent="0.25">
      <c r="A5676" t="str">
        <f>"730790722"</f>
        <v>730790722</v>
      </c>
      <c r="B5676" t="str">
        <f>"EHPAD LA BAILLY"</f>
        <v>EHPAD LA BAILLY</v>
      </c>
      <c r="C5676" t="s">
        <v>61</v>
      </c>
    </row>
    <row r="5677" spans="1:3" x14ac:dyDescent="0.25">
      <c r="A5677" t="str">
        <f>"740001623"</f>
        <v>740001623</v>
      </c>
      <c r="B5677" t="str">
        <f>"EHPAD LES AIRELLES"</f>
        <v>EHPAD LES AIRELLES</v>
      </c>
      <c r="C5677" t="s">
        <v>61</v>
      </c>
    </row>
    <row r="5678" spans="1:3" x14ac:dyDescent="0.25">
      <c r="A5678" t="str">
        <f>"740001789"</f>
        <v>740001789</v>
      </c>
      <c r="B5678" t="str">
        <f>"EHPAD GRAND CHENE"</f>
        <v>EHPAD GRAND CHENE</v>
      </c>
      <c r="C5678" t="s">
        <v>61</v>
      </c>
    </row>
    <row r="5679" spans="1:3" x14ac:dyDescent="0.25">
      <c r="A5679" t="str">
        <f>"740003769"</f>
        <v>740003769</v>
      </c>
      <c r="B5679" t="str">
        <f>"EHPAD LE PRE FORNET"</f>
        <v>EHPAD LE PRE FORNET</v>
      </c>
      <c r="C5679" t="s">
        <v>61</v>
      </c>
    </row>
    <row r="5680" spans="1:3" x14ac:dyDescent="0.25">
      <c r="A5680" t="str">
        <f>"740003868"</f>
        <v>740003868</v>
      </c>
      <c r="B5680" t="str">
        <f>"EHPAD KORIAN L'ESCONDA"</f>
        <v>EHPAD KORIAN L'ESCONDA</v>
      </c>
      <c r="C5680" t="s">
        <v>61</v>
      </c>
    </row>
    <row r="5681" spans="1:3" x14ac:dyDescent="0.25">
      <c r="A5681" t="str">
        <f>"740003918"</f>
        <v>740003918</v>
      </c>
      <c r="B5681" t="str">
        <f>"EHPAD LES ANCOLIES"</f>
        <v>EHPAD LES ANCOLIES</v>
      </c>
      <c r="C5681" t="s">
        <v>61</v>
      </c>
    </row>
    <row r="5682" spans="1:3" x14ac:dyDescent="0.25">
      <c r="A5682" t="str">
        <f>"740008032"</f>
        <v>740008032</v>
      </c>
      <c r="B5682" t="str">
        <f>"EHPAD VERGER DES COUDRY"</f>
        <v>EHPAD VERGER DES COUDRY</v>
      </c>
      <c r="C5682" t="s">
        <v>61</v>
      </c>
    </row>
    <row r="5683" spans="1:3" x14ac:dyDescent="0.25">
      <c r="A5683" t="str">
        <f>"740009113"</f>
        <v>740009113</v>
      </c>
      <c r="B5683" t="str">
        <f>"EHPAD LES ERABLES"</f>
        <v>EHPAD LES ERABLES</v>
      </c>
      <c r="C5683" t="s">
        <v>61</v>
      </c>
    </row>
    <row r="5684" spans="1:3" x14ac:dyDescent="0.25">
      <c r="A5684" t="str">
        <f>"740009121"</f>
        <v>740009121</v>
      </c>
      <c r="B5684" t="str">
        <f>"EHPAD DU HAUT CHABLAIS/ST JEAN D'AULPS"</f>
        <v>EHPAD DU HAUT CHABLAIS/ST JEAN D'AULPS</v>
      </c>
      <c r="C5684" t="s">
        <v>61</v>
      </c>
    </row>
    <row r="5685" spans="1:3" x14ac:dyDescent="0.25">
      <c r="A5685" t="str">
        <f>"740009154"</f>
        <v>740009154</v>
      </c>
      <c r="B5685" t="str">
        <f>"EHPAD LES VERGERS"</f>
        <v>EHPAD LES VERGERS</v>
      </c>
      <c r="C5685" t="s">
        <v>61</v>
      </c>
    </row>
    <row r="5686" spans="1:3" x14ac:dyDescent="0.25">
      <c r="A5686" t="str">
        <f>"740009311"</f>
        <v>740009311</v>
      </c>
      <c r="B5686" t="str">
        <f>"EHPAD DU HAUT CHABLAIS / VACHERESSE"</f>
        <v>EHPAD DU HAUT CHABLAIS / VACHERESSE</v>
      </c>
      <c r="C5686" t="s">
        <v>61</v>
      </c>
    </row>
    <row r="5687" spans="1:3" x14ac:dyDescent="0.25">
      <c r="A5687" t="str">
        <f>"740009360"</f>
        <v>740009360</v>
      </c>
      <c r="B5687" t="str">
        <f>"EHPAD BEATRIX DE FAUCIGNY"</f>
        <v>EHPAD BEATRIX DE FAUCIGNY</v>
      </c>
      <c r="C5687" t="s">
        <v>61</v>
      </c>
    </row>
    <row r="5688" spans="1:3" x14ac:dyDescent="0.25">
      <c r="A5688" t="str">
        <f>"740010921"</f>
        <v>740010921</v>
      </c>
      <c r="B5688" t="str">
        <f>"EHPAD LE BARIOZ"</f>
        <v>EHPAD LE BARIOZ</v>
      </c>
      <c r="C5688" t="s">
        <v>61</v>
      </c>
    </row>
    <row r="5689" spans="1:3" x14ac:dyDescent="0.25">
      <c r="A5689" t="str">
        <f>"740010939"</f>
        <v>740010939</v>
      </c>
      <c r="B5689" t="str">
        <f>"EHPAD LE VAL MONTJOIE"</f>
        <v>EHPAD LE VAL MONTJOIE</v>
      </c>
      <c r="C5689" t="s">
        <v>61</v>
      </c>
    </row>
    <row r="5690" spans="1:3" x14ac:dyDescent="0.25">
      <c r="A5690" t="str">
        <f>"740010947"</f>
        <v>740010947</v>
      </c>
      <c r="B5690" t="str">
        <f>"EHPAD RESIDENCE ADELAIDE"</f>
        <v>EHPAD RESIDENCE ADELAIDE</v>
      </c>
      <c r="C5690" t="s">
        <v>61</v>
      </c>
    </row>
    <row r="5691" spans="1:3" x14ac:dyDescent="0.25">
      <c r="A5691" t="str">
        <f>"740010954"</f>
        <v>740010954</v>
      </c>
      <c r="B5691" t="str">
        <f>"EHPAD KAMOURASKA"</f>
        <v>EHPAD KAMOURASKA</v>
      </c>
      <c r="C5691" t="s">
        <v>61</v>
      </c>
    </row>
    <row r="5692" spans="1:3" x14ac:dyDescent="0.25">
      <c r="A5692" t="str">
        <f>"740010970"</f>
        <v>740010970</v>
      </c>
      <c r="B5692" t="str">
        <f>"EHPAD CLAUDINE ECHERNIER"</f>
        <v>EHPAD CLAUDINE ECHERNIER</v>
      </c>
      <c r="C5692" t="s">
        <v>61</v>
      </c>
    </row>
    <row r="5693" spans="1:3" x14ac:dyDescent="0.25">
      <c r="A5693" t="str">
        <f>"740010996"</f>
        <v>740010996</v>
      </c>
      <c r="B5693" t="str">
        <f>"EHPAD LES JARDINS DU MONT-BLANC"</f>
        <v>EHPAD LES JARDINS DU MONT-BLANC</v>
      </c>
      <c r="C5693" t="s">
        <v>61</v>
      </c>
    </row>
    <row r="5694" spans="1:3" x14ac:dyDescent="0.25">
      <c r="A5694" t="str">
        <f>"740011275"</f>
        <v>740011275</v>
      </c>
      <c r="B5694" t="str">
        <f>"EHPAD LE JARDIN DES GENTIANES"</f>
        <v>EHPAD LE JARDIN DES GENTIANES</v>
      </c>
      <c r="C5694" t="s">
        <v>61</v>
      </c>
    </row>
    <row r="5695" spans="1:3" x14ac:dyDescent="0.25">
      <c r="A5695" t="str">
        <f>"740011283"</f>
        <v>740011283</v>
      </c>
      <c r="B5695" t="str">
        <f>"EHPAD LE CLOS CASAI"</f>
        <v>EHPAD LE CLOS CASAI</v>
      </c>
      <c r="C5695" t="s">
        <v>61</v>
      </c>
    </row>
    <row r="5696" spans="1:3" x14ac:dyDescent="0.25">
      <c r="A5696" t="str">
        <f>"740011291"</f>
        <v>740011291</v>
      </c>
      <c r="B5696" t="str">
        <f>"EHPAD LA BARTAVELLE"</f>
        <v>EHPAD LA BARTAVELLE</v>
      </c>
      <c r="C5696" t="s">
        <v>61</v>
      </c>
    </row>
    <row r="5697" spans="1:3" x14ac:dyDescent="0.25">
      <c r="A5697" t="str">
        <f>"740011390"</f>
        <v>740011390</v>
      </c>
      <c r="B5697" t="str">
        <f>"EHPAD LES PAROUSES"</f>
        <v>EHPAD LES PAROUSES</v>
      </c>
      <c r="C5697" t="s">
        <v>61</v>
      </c>
    </row>
    <row r="5698" spans="1:3" x14ac:dyDescent="0.25">
      <c r="A5698" t="str">
        <f>"740011408"</f>
        <v>740011408</v>
      </c>
      <c r="B5698" t="str">
        <f>"EHPAD MAISONNEE LE VAL FLEURI"</f>
        <v>EHPAD MAISONNEE LE VAL FLEURI</v>
      </c>
      <c r="C5698" t="s">
        <v>61</v>
      </c>
    </row>
    <row r="5699" spans="1:3" x14ac:dyDescent="0.25">
      <c r="A5699" t="str">
        <f>"740011671"</f>
        <v>740011671</v>
      </c>
      <c r="B5699" t="str">
        <f>"EHPAD LES VERDANNES"</f>
        <v>EHPAD LES VERDANNES</v>
      </c>
      <c r="C5699" t="s">
        <v>61</v>
      </c>
    </row>
    <row r="5700" spans="1:3" x14ac:dyDescent="0.25">
      <c r="A5700" t="str">
        <f>"740011788"</f>
        <v>740011788</v>
      </c>
      <c r="B5700" t="str">
        <f>"EHPAD LES PRAZ DE L'ARVE"</f>
        <v>EHPAD LES PRAZ DE L'ARVE</v>
      </c>
      <c r="C5700" t="s">
        <v>61</v>
      </c>
    </row>
    <row r="5701" spans="1:3" x14ac:dyDescent="0.25">
      <c r="A5701" t="str">
        <f>"740012125"</f>
        <v>740012125</v>
      </c>
      <c r="B5701" t="str">
        <f>"EHPAD LA LUMIERE DU LAC"</f>
        <v>EHPAD LA LUMIERE DU LAC</v>
      </c>
      <c r="C5701" t="s">
        <v>61</v>
      </c>
    </row>
    <row r="5702" spans="1:3" x14ac:dyDescent="0.25">
      <c r="A5702" t="str">
        <f>"740012133"</f>
        <v>740012133</v>
      </c>
      <c r="B5702" t="str">
        <f>"EHPAD LES CEDRES"</f>
        <v>EHPAD LES CEDRES</v>
      </c>
      <c r="C5702" t="s">
        <v>61</v>
      </c>
    </row>
    <row r="5703" spans="1:3" x14ac:dyDescent="0.25">
      <c r="A5703" t="str">
        <f>"740012299"</f>
        <v>740012299</v>
      </c>
      <c r="B5703" t="str">
        <f>"EHPAD MDF DU GENEVOIS"</f>
        <v>EHPAD MDF DU GENEVOIS</v>
      </c>
      <c r="C5703" t="s">
        <v>61</v>
      </c>
    </row>
    <row r="5704" spans="1:3" x14ac:dyDescent="0.25">
      <c r="A5704" t="str">
        <f>"740013172"</f>
        <v>740013172</v>
      </c>
      <c r="B5704" t="str">
        <f>"EHPAD LES COQUELICOTS"</f>
        <v>EHPAD LES COQUELICOTS</v>
      </c>
      <c r="C5704" t="s">
        <v>61</v>
      </c>
    </row>
    <row r="5705" spans="1:3" x14ac:dyDescent="0.25">
      <c r="A5705" t="str">
        <f>"740013339"</f>
        <v>740013339</v>
      </c>
      <c r="B5705" t="str">
        <f>"EHPAD LE BOSQUET DE LA MANDALLAZ"</f>
        <v>EHPAD LE BOSQUET DE LA MANDALLAZ</v>
      </c>
      <c r="C5705" t="s">
        <v>61</v>
      </c>
    </row>
    <row r="5706" spans="1:3" x14ac:dyDescent="0.25">
      <c r="A5706" t="str">
        <f>"740013354"</f>
        <v>740013354</v>
      </c>
      <c r="B5706" t="str">
        <f>"EHPAD RESIDENCE DES SOURCES"</f>
        <v>EHPAD RESIDENCE DES SOURCES</v>
      </c>
      <c r="C5706" t="s">
        <v>61</v>
      </c>
    </row>
    <row r="5707" spans="1:3" x14ac:dyDescent="0.25">
      <c r="A5707" t="str">
        <f>"740781232"</f>
        <v>740781232</v>
      </c>
      <c r="B5707" t="str">
        <f>"EHPAD LE CHANT DU FIER"</f>
        <v>EHPAD LE CHANT DU FIER</v>
      </c>
      <c r="C5707" t="s">
        <v>61</v>
      </c>
    </row>
    <row r="5708" spans="1:3" x14ac:dyDescent="0.25">
      <c r="A5708" t="str">
        <f>"740781489"</f>
        <v>740781489</v>
      </c>
      <c r="B5708" t="str">
        <f>"EHPAD ALFRED BLANC"</f>
        <v>EHPAD ALFRED BLANC</v>
      </c>
      <c r="C5708" t="s">
        <v>61</v>
      </c>
    </row>
    <row r="5709" spans="1:3" x14ac:dyDescent="0.25">
      <c r="A5709" t="str">
        <f>"740781497"</f>
        <v>740781497</v>
      </c>
      <c r="B5709" t="str">
        <f>"EHPAD MONTS ARGENTES"</f>
        <v>EHPAD MONTS ARGENTES</v>
      </c>
      <c r="C5709" t="s">
        <v>61</v>
      </c>
    </row>
    <row r="5710" spans="1:3" x14ac:dyDescent="0.25">
      <c r="A5710" t="str">
        <f>"740781513"</f>
        <v>740781513</v>
      </c>
      <c r="B5710" t="str">
        <f>"EHPAD GRANGE"</f>
        <v>EHPAD GRANGE</v>
      </c>
      <c r="C5710" t="s">
        <v>61</v>
      </c>
    </row>
    <row r="5711" spans="1:3" x14ac:dyDescent="0.25">
      <c r="A5711" t="str">
        <f>"740784392"</f>
        <v>740784392</v>
      </c>
      <c r="B5711" t="str">
        <f>"EHPAD VAL DES USSES"</f>
        <v>EHPAD VAL DES USSES</v>
      </c>
      <c r="C5711" t="s">
        <v>61</v>
      </c>
    </row>
    <row r="5712" spans="1:3" x14ac:dyDescent="0.25">
      <c r="A5712" t="str">
        <f>"740784509"</f>
        <v>740784509</v>
      </c>
      <c r="B5712" t="str">
        <f>"EHPAD RESIDENCE HEUREUSE"</f>
        <v>EHPAD RESIDENCE HEUREUSE</v>
      </c>
      <c r="C5712" t="s">
        <v>61</v>
      </c>
    </row>
    <row r="5713" spans="1:3" x14ac:dyDescent="0.25">
      <c r="A5713" t="str">
        <f>"740784517"</f>
        <v>740784517</v>
      </c>
      <c r="B5713" t="str">
        <f>"EHPAD LA PRAIRIE"</f>
        <v>EHPAD LA PRAIRIE</v>
      </c>
      <c r="C5713" t="s">
        <v>61</v>
      </c>
    </row>
    <row r="5714" spans="1:3" x14ac:dyDescent="0.25">
      <c r="A5714" t="str">
        <f>"740784681"</f>
        <v>740784681</v>
      </c>
      <c r="B5714" t="str">
        <f>"EHPAD FONDATION DU PARMELAN"</f>
        <v>EHPAD FONDATION DU PARMELAN</v>
      </c>
      <c r="C5714" t="s">
        <v>61</v>
      </c>
    </row>
    <row r="5715" spans="1:3" x14ac:dyDescent="0.25">
      <c r="A5715" t="str">
        <f>"740785118"</f>
        <v>740785118</v>
      </c>
      <c r="B5715" t="str">
        <f>"EHPAD BAUDELAIRE - CHANGE"</f>
        <v>EHPAD BAUDELAIRE - CHANGE</v>
      </c>
      <c r="C5715" t="s">
        <v>61</v>
      </c>
    </row>
    <row r="5716" spans="1:3" x14ac:dyDescent="0.25">
      <c r="A5716" t="str">
        <f>"740785134"</f>
        <v>740785134</v>
      </c>
      <c r="B5716" t="str">
        <f>"EHPAD PETERSCHMITT"</f>
        <v>EHPAD PETERSCHMITT</v>
      </c>
      <c r="C5716" t="s">
        <v>61</v>
      </c>
    </row>
    <row r="5717" spans="1:3" x14ac:dyDescent="0.25">
      <c r="A5717" t="str">
        <f>"740785225"</f>
        <v>740785225</v>
      </c>
      <c r="B5717" t="str">
        <f>"EHPAD DU SALEVE"</f>
        <v>EHPAD DU SALEVE</v>
      </c>
      <c r="C5717" t="s">
        <v>61</v>
      </c>
    </row>
    <row r="5718" spans="1:3" x14ac:dyDescent="0.25">
      <c r="A5718" t="str">
        <f>"740785415"</f>
        <v>740785415</v>
      </c>
      <c r="B5718" t="str">
        <f>"EHPAD RESIDENCE DU LEMAN"</f>
        <v>EHPAD RESIDENCE DU LEMAN</v>
      </c>
      <c r="C5718" t="s">
        <v>61</v>
      </c>
    </row>
    <row r="5719" spans="1:3" x14ac:dyDescent="0.25">
      <c r="A5719" t="str">
        <f>"740786389"</f>
        <v>740786389</v>
      </c>
      <c r="B5719" t="str">
        <f>"EHPAD ST FRANCOIS DE SALES (CHANGE)"</f>
        <v>EHPAD ST FRANCOIS DE SALES (CHANGE)</v>
      </c>
      <c r="C5719" t="s">
        <v>61</v>
      </c>
    </row>
    <row r="5720" spans="1:3" x14ac:dyDescent="0.25">
      <c r="A5720" t="str">
        <f>"740787536"</f>
        <v>740787536</v>
      </c>
      <c r="B5720" t="str">
        <f>"EHPAD HOPITAL ANDREVETAN"</f>
        <v>EHPAD HOPITAL ANDREVETAN</v>
      </c>
      <c r="C5720" t="s">
        <v>61</v>
      </c>
    </row>
    <row r="5721" spans="1:3" x14ac:dyDescent="0.25">
      <c r="A5721" t="str">
        <f>"740787544"</f>
        <v>740787544</v>
      </c>
      <c r="B5721" t="str">
        <f>"EHPAD  AIRELLES (HPMB)"</f>
        <v>EHPAD  AIRELLES (HPMB)</v>
      </c>
      <c r="C5721" t="s">
        <v>61</v>
      </c>
    </row>
    <row r="5722" spans="1:3" x14ac:dyDescent="0.25">
      <c r="A5722" t="str">
        <f>"740788013"</f>
        <v>740788013</v>
      </c>
      <c r="B5722" t="str">
        <f>"EHPAD HELENE COUTTET (HPMB)"</f>
        <v>EHPAD HELENE COUTTET (HPMB)</v>
      </c>
      <c r="C5722" t="s">
        <v>61</v>
      </c>
    </row>
    <row r="5723" spans="1:3" x14ac:dyDescent="0.25">
      <c r="A5723" t="str">
        <f>"740788021"</f>
        <v>740788021</v>
      </c>
      <c r="B5723" t="str">
        <f>"EHPAD BAUFORT"</f>
        <v>EHPAD BAUFORT</v>
      </c>
      <c r="C5723" t="s">
        <v>61</v>
      </c>
    </row>
    <row r="5724" spans="1:3" x14ac:dyDescent="0.25">
      <c r="A5724" t="str">
        <f>"740788039"</f>
        <v>740788039</v>
      </c>
      <c r="B5724" t="str">
        <f>"EHPAD LES EDELWEISS"</f>
        <v>EHPAD LES EDELWEISS</v>
      </c>
      <c r="C5724" t="s">
        <v>61</v>
      </c>
    </row>
    <row r="5725" spans="1:3" x14ac:dyDescent="0.25">
      <c r="A5725" t="str">
        <f>"740788104"</f>
        <v>740788104</v>
      </c>
      <c r="B5725" t="str">
        <f>"EHPAD CH DUFRESNE SOMMEILLER LA TOUR"</f>
        <v>EHPAD CH DUFRESNE SOMMEILLER LA TOUR</v>
      </c>
      <c r="C5725" t="s">
        <v>61</v>
      </c>
    </row>
    <row r="5726" spans="1:3" x14ac:dyDescent="0.25">
      <c r="A5726" t="str">
        <f>"740788757"</f>
        <v>740788757</v>
      </c>
      <c r="B5726" t="str">
        <f>"EHPAD RESIDENCE LA ROSE DES VENTS"</f>
        <v>EHPAD RESIDENCE LA ROSE DES VENTS</v>
      </c>
      <c r="C5726" t="s">
        <v>61</v>
      </c>
    </row>
    <row r="5727" spans="1:3" x14ac:dyDescent="0.25">
      <c r="A5727" t="str">
        <f>"740789003"</f>
        <v>740789003</v>
      </c>
      <c r="B5727" t="str">
        <f>"EHPAD KORIAN LES MYRTILLES"</f>
        <v>EHPAD KORIAN LES MYRTILLES</v>
      </c>
      <c r="C5727" t="s">
        <v>61</v>
      </c>
    </row>
    <row r="5728" spans="1:3" x14ac:dyDescent="0.25">
      <c r="A5728" t="str">
        <f>"740789060"</f>
        <v>740789060</v>
      </c>
      <c r="B5728" t="str">
        <f>"EHPAD BALCONS DU LAC"</f>
        <v>EHPAD BALCONS DU LAC</v>
      </c>
      <c r="C5728" t="s">
        <v>61</v>
      </c>
    </row>
    <row r="5729" spans="1:3" x14ac:dyDescent="0.25">
      <c r="A5729" t="str">
        <f>"740789375"</f>
        <v>740789375</v>
      </c>
      <c r="B5729" t="str">
        <f>"EHPAD REIGNIER"</f>
        <v>EHPAD REIGNIER</v>
      </c>
      <c r="C5729" t="s">
        <v>61</v>
      </c>
    </row>
    <row r="5730" spans="1:3" x14ac:dyDescent="0.25">
      <c r="A5730" t="str">
        <f>"740789409"</f>
        <v>740789409</v>
      </c>
      <c r="B5730" t="str">
        <f>"EHPAD LA ROSELIERE"</f>
        <v>EHPAD LA ROSELIERE</v>
      </c>
      <c r="C5730" t="s">
        <v>61</v>
      </c>
    </row>
    <row r="5731" spans="1:3" x14ac:dyDescent="0.25">
      <c r="A5731" t="str">
        <f>"740789417"</f>
        <v>740789417</v>
      </c>
      <c r="B5731" t="str">
        <f>"EHPAD VIVRE ENSEMBLE"</f>
        <v>EHPAD VIVRE ENSEMBLE</v>
      </c>
      <c r="C5731" t="s">
        <v>61</v>
      </c>
    </row>
    <row r="5732" spans="1:3" x14ac:dyDescent="0.25">
      <c r="A5732" t="str">
        <f>"740789425"</f>
        <v>740789425</v>
      </c>
      <c r="B5732" t="str">
        <f>"EHPAD PAUL IDIER"</f>
        <v>EHPAD PAUL IDIER</v>
      </c>
      <c r="C5732" t="s">
        <v>61</v>
      </c>
    </row>
    <row r="5733" spans="1:3" x14ac:dyDescent="0.25">
      <c r="A5733" t="str">
        <f>"740789524"</f>
        <v>740789524</v>
      </c>
      <c r="B5733" t="str">
        <f>"EHPAD CHANTE MERLE"</f>
        <v>EHPAD CHANTE MERLE</v>
      </c>
      <c r="C5733" t="s">
        <v>61</v>
      </c>
    </row>
    <row r="5734" spans="1:3" x14ac:dyDescent="0.25">
      <c r="A5734" t="str">
        <f>"740789656"</f>
        <v>740789656</v>
      </c>
      <c r="B5734" t="str">
        <f>"EHPAD LA PRAIRIE THONON"</f>
        <v>EHPAD LA PRAIRIE THONON</v>
      </c>
      <c r="C5734" t="s">
        <v>61</v>
      </c>
    </row>
    <row r="5735" spans="1:3" x14ac:dyDescent="0.25">
      <c r="A5735" t="str">
        <f>"740789789"</f>
        <v>740789789</v>
      </c>
      <c r="B5735" t="str">
        <f>"EHPAD L'ERMITAGE"</f>
        <v>EHPAD L'ERMITAGE</v>
      </c>
      <c r="C5735" t="s">
        <v>61</v>
      </c>
    </row>
    <row r="5736" spans="1:3" x14ac:dyDescent="0.25">
      <c r="A5736" t="str">
        <f>"740790092"</f>
        <v>740790092</v>
      </c>
      <c r="B5736" t="str">
        <f>"EHPAD LES GENTIANES"</f>
        <v>EHPAD LES GENTIANES</v>
      </c>
      <c r="C5736" t="s">
        <v>61</v>
      </c>
    </row>
    <row r="5737" spans="1:3" x14ac:dyDescent="0.25">
      <c r="A5737" t="str">
        <f>"740790100"</f>
        <v>740790100</v>
      </c>
      <c r="B5737" t="str">
        <f>"EHPAD PROVENCHE"</f>
        <v>EHPAD PROVENCHE</v>
      </c>
      <c r="C5737" t="s">
        <v>61</v>
      </c>
    </row>
    <row r="5738" spans="1:3" x14ac:dyDescent="0.25">
      <c r="A5738" t="str">
        <f>"740790118"</f>
        <v>740790118</v>
      </c>
      <c r="B5738" t="str">
        <f>"EHPAD CYCLAMENS"</f>
        <v>EHPAD CYCLAMENS</v>
      </c>
      <c r="C5738" t="s">
        <v>61</v>
      </c>
    </row>
    <row r="5739" spans="1:3" x14ac:dyDescent="0.25">
      <c r="A5739" t="str">
        <f>"740790191"</f>
        <v>740790191</v>
      </c>
      <c r="B5739" t="str">
        <f>"EHPAD DES GLIERES"</f>
        <v>EHPAD DES GLIERES</v>
      </c>
      <c r="C5739" t="s">
        <v>61</v>
      </c>
    </row>
    <row r="5740" spans="1:3" x14ac:dyDescent="0.25">
      <c r="A5740" t="str">
        <f>"740790225"</f>
        <v>740790225</v>
      </c>
      <c r="B5740" t="str">
        <f>"EHPAD LES OMBELLES"</f>
        <v>EHPAD LES OMBELLES</v>
      </c>
      <c r="C5740" t="s">
        <v>61</v>
      </c>
    </row>
    <row r="5741" spans="1:3" x14ac:dyDescent="0.25">
      <c r="A5741" t="str">
        <f>"740790241"</f>
        <v>740790241</v>
      </c>
      <c r="B5741" t="str">
        <f>"EHPAD PIERRE PAILLET"</f>
        <v>EHPAD PIERRE PAILLET</v>
      </c>
      <c r="C5741" t="s">
        <v>61</v>
      </c>
    </row>
    <row r="5742" spans="1:3" x14ac:dyDescent="0.25">
      <c r="A5742" t="str">
        <f>"740790316"</f>
        <v>740790316</v>
      </c>
      <c r="B5742" t="str">
        <f>"EHPAD JARDINS DE L'ILE"</f>
        <v>EHPAD JARDINS DE L'ILE</v>
      </c>
      <c r="C5742" t="s">
        <v>61</v>
      </c>
    </row>
    <row r="5743" spans="1:3" x14ac:dyDescent="0.25">
      <c r="A5743" t="str">
        <f>"750000366"</f>
        <v>750000366</v>
      </c>
      <c r="B5743" t="str">
        <f>"EHPAD LES JARDINS DE MONTMARTRE"</f>
        <v>EHPAD LES JARDINS DE MONTMARTRE</v>
      </c>
      <c r="C5743" t="s">
        <v>71</v>
      </c>
    </row>
    <row r="5744" spans="1:3" x14ac:dyDescent="0.25">
      <c r="A5744" t="str">
        <f>"750002552"</f>
        <v>750002552</v>
      </c>
      <c r="B5744" t="str">
        <f>"EHPAD RESIDENCE DE SEVRES"</f>
        <v>EHPAD RESIDENCE DE SEVRES</v>
      </c>
      <c r="C5744" t="s">
        <v>71</v>
      </c>
    </row>
    <row r="5745" spans="1:3" x14ac:dyDescent="0.25">
      <c r="A5745" t="str">
        <f>"750003360"</f>
        <v>750003360</v>
      </c>
      <c r="B5745" t="str">
        <f>"EHPAD KORIAN LES ARCARDES"</f>
        <v>EHPAD KORIAN LES ARCARDES</v>
      </c>
      <c r="C5745" t="s">
        <v>71</v>
      </c>
    </row>
    <row r="5746" spans="1:3" x14ac:dyDescent="0.25">
      <c r="A5746" t="str">
        <f>"750003600"</f>
        <v>750003600</v>
      </c>
      <c r="B5746" t="str">
        <f>"EHPAD RESIDENCE TIERS TEMPS PARIS"</f>
        <v>EHPAD RESIDENCE TIERS TEMPS PARIS</v>
      </c>
      <c r="C5746" t="s">
        <v>71</v>
      </c>
    </row>
    <row r="5747" spans="1:3" x14ac:dyDescent="0.25">
      <c r="A5747" t="str">
        <f>"750003642"</f>
        <v>750003642</v>
      </c>
      <c r="B5747" t="str">
        <f>"EHPAD LES TERRASSES DU 20EME"</f>
        <v>EHPAD LES TERRASSES DU 20EME</v>
      </c>
      <c r="C5747" t="s">
        <v>71</v>
      </c>
    </row>
    <row r="5748" spans="1:3" x14ac:dyDescent="0.25">
      <c r="A5748" t="str">
        <f>"750003972"</f>
        <v>750003972</v>
      </c>
      <c r="B5748" t="str">
        <f>"EHPAD REPOTEL GAMBETTA"</f>
        <v>EHPAD REPOTEL GAMBETTA</v>
      </c>
      <c r="C5748" t="s">
        <v>71</v>
      </c>
    </row>
    <row r="5749" spans="1:3" x14ac:dyDescent="0.25">
      <c r="A5749" t="str">
        <f>"750004020"</f>
        <v>750004020</v>
      </c>
      <c r="B5749" t="str">
        <f>"EHPAD KORIAN JARDINS D ALESIA"</f>
        <v>EHPAD KORIAN JARDINS D ALESIA</v>
      </c>
      <c r="C5749" t="s">
        <v>71</v>
      </c>
    </row>
    <row r="5750" spans="1:3" x14ac:dyDescent="0.25">
      <c r="A5750" t="str">
        <f>"750007809"</f>
        <v>750007809</v>
      </c>
      <c r="B5750" t="str">
        <f>"EHPAD RESIDENCE CLUB LE MONTSOURIS"</f>
        <v>EHPAD RESIDENCE CLUB LE MONTSOURIS</v>
      </c>
      <c r="C5750" t="s">
        <v>71</v>
      </c>
    </row>
    <row r="5751" spans="1:3" x14ac:dyDescent="0.25">
      <c r="A5751" t="str">
        <f>"750012510"</f>
        <v>750012510</v>
      </c>
      <c r="B5751" t="str">
        <f>"EHPAD RESIDENCE SANTE ANSELME PAYEN"</f>
        <v>EHPAD RESIDENCE SANTE ANSELME PAYEN</v>
      </c>
      <c r="C5751" t="s">
        <v>71</v>
      </c>
    </row>
    <row r="5752" spans="1:3" x14ac:dyDescent="0.25">
      <c r="A5752" t="str">
        <f>"750016958"</f>
        <v>750016958</v>
      </c>
      <c r="B5752" t="str">
        <f>"EHPAD LA SOURCE D AUTEUIL"</f>
        <v>EHPAD LA SOURCE D AUTEUIL</v>
      </c>
      <c r="C5752" t="s">
        <v>71</v>
      </c>
    </row>
    <row r="5753" spans="1:3" x14ac:dyDescent="0.25">
      <c r="A5753" t="str">
        <f>"750017808"</f>
        <v>750017808</v>
      </c>
      <c r="B5753" t="str">
        <f>"EHPAD VILLA LECOURBE"</f>
        <v>EHPAD VILLA LECOURBE</v>
      </c>
      <c r="C5753" t="s">
        <v>71</v>
      </c>
    </row>
    <row r="5754" spans="1:3" x14ac:dyDescent="0.25">
      <c r="A5754" t="str">
        <f>"750019358"</f>
        <v>750019358</v>
      </c>
      <c r="B5754" t="str">
        <f>"EHPAD RESIDENCE LES MUSICIENS"</f>
        <v>EHPAD RESIDENCE LES MUSICIENS</v>
      </c>
      <c r="C5754" t="s">
        <v>71</v>
      </c>
    </row>
    <row r="5755" spans="1:3" x14ac:dyDescent="0.25">
      <c r="A5755" t="str">
        <f>"750021123"</f>
        <v>750021123</v>
      </c>
      <c r="B5755" t="str">
        <f>"EHPAD RESIDENCE SANTE JULIE SIEGFRIED"</f>
        <v>EHPAD RESIDENCE SANTE JULIE SIEGFRIED</v>
      </c>
      <c r="C5755" t="s">
        <v>71</v>
      </c>
    </row>
    <row r="5756" spans="1:3" x14ac:dyDescent="0.25">
      <c r="A5756" t="str">
        <f>"750021479"</f>
        <v>750021479</v>
      </c>
      <c r="B5756" t="str">
        <f>"EHPAD RESIDENCE HEROLD"</f>
        <v>EHPAD RESIDENCE HEROLD</v>
      </c>
      <c r="C5756" t="s">
        <v>71</v>
      </c>
    </row>
    <row r="5757" spans="1:3" x14ac:dyDescent="0.25">
      <c r="A5757" t="str">
        <f>"750021719"</f>
        <v>750021719</v>
      </c>
      <c r="B5757" t="str">
        <f>"EHPAD RESIDENCE OCEANE"</f>
        <v>EHPAD RESIDENCE OCEANE</v>
      </c>
      <c r="C5757" t="s">
        <v>71</v>
      </c>
    </row>
    <row r="5758" spans="1:3" x14ac:dyDescent="0.25">
      <c r="A5758" t="str">
        <f>"750022279"</f>
        <v>750022279</v>
      </c>
      <c r="B5758" t="str">
        <f>"EHPAD COS JEANNE D ARC"</f>
        <v>EHPAD COS JEANNE D ARC</v>
      </c>
      <c r="C5758" t="s">
        <v>71</v>
      </c>
    </row>
    <row r="5759" spans="1:3" x14ac:dyDescent="0.25">
      <c r="A5759" t="str">
        <f>"750031098"</f>
        <v>750031098</v>
      </c>
      <c r="B5759" t="str">
        <f>"EHPAD RESIDENCE EDITH PIAF ORPEA"</f>
        <v>EHPAD RESIDENCE EDITH PIAF ORPEA</v>
      </c>
      <c r="C5759" t="s">
        <v>71</v>
      </c>
    </row>
    <row r="5760" spans="1:3" x14ac:dyDescent="0.25">
      <c r="A5760" t="str">
        <f>"750033979"</f>
        <v>750033979</v>
      </c>
      <c r="B5760" t="str">
        <f>"EHPAD DOLCEA LES AMBASSADEURS NATION"</f>
        <v>EHPAD DOLCEA LES AMBASSADEURS NATION</v>
      </c>
      <c r="C5760" t="s">
        <v>71</v>
      </c>
    </row>
    <row r="5761" spans="1:3" x14ac:dyDescent="0.25">
      <c r="A5761" t="str">
        <f>"750035099"</f>
        <v>750035099</v>
      </c>
      <c r="B5761" t="str">
        <f>"EHPAD LES PARENTELES"</f>
        <v>EHPAD LES PARENTELES</v>
      </c>
      <c r="C5761" t="s">
        <v>71</v>
      </c>
    </row>
    <row r="5762" spans="1:3" x14ac:dyDescent="0.25">
      <c r="A5762" t="str">
        <f>"750038564"</f>
        <v>750038564</v>
      </c>
      <c r="B5762" t="str">
        <f>"EHPAD KORIAN MAGENTA"</f>
        <v>EHPAD KORIAN MAGENTA</v>
      </c>
      <c r="C5762" t="s">
        <v>71</v>
      </c>
    </row>
    <row r="5763" spans="1:3" x14ac:dyDescent="0.25">
      <c r="A5763" t="str">
        <f>"750040149"</f>
        <v>750040149</v>
      </c>
      <c r="B5763" t="str">
        <f>"EHPAD RESIDENCE GOBELINS"</f>
        <v>EHPAD RESIDENCE GOBELINS</v>
      </c>
      <c r="C5763" t="s">
        <v>71</v>
      </c>
    </row>
    <row r="5764" spans="1:3" x14ac:dyDescent="0.25">
      <c r="A5764" t="str">
        <f>"750041030"</f>
        <v>750041030</v>
      </c>
      <c r="B5764" t="str">
        <f>"EHPAD LE TREFLE BLEU CARDINET"</f>
        <v>EHPAD LE TREFLE BLEU CARDINET</v>
      </c>
      <c r="C5764" t="s">
        <v>71</v>
      </c>
    </row>
    <row r="5765" spans="1:3" x14ac:dyDescent="0.25">
      <c r="A5765" t="str">
        <f>"750041089"</f>
        <v>750041089</v>
      </c>
      <c r="B5765" t="str">
        <f>"EHPAD LA MAISON DU PARC"</f>
        <v>EHPAD LA MAISON DU PARC</v>
      </c>
      <c r="C5765" t="s">
        <v>71</v>
      </c>
    </row>
    <row r="5766" spans="1:3" x14ac:dyDescent="0.25">
      <c r="A5766" t="str">
        <f>"750041402"</f>
        <v>750041402</v>
      </c>
      <c r="B5766" t="str">
        <f>"EHPAD RESIDENCE DU MARAIS"</f>
        <v>EHPAD RESIDENCE DU MARAIS</v>
      </c>
      <c r="C5766" t="s">
        <v>71</v>
      </c>
    </row>
    <row r="5767" spans="1:3" x14ac:dyDescent="0.25">
      <c r="A5767" t="str">
        <f>"750041436"</f>
        <v>750041436</v>
      </c>
      <c r="B5767" t="str">
        <f>"EHPAD RESIDENCE LA MAISON DES PARENTS"</f>
        <v>EHPAD RESIDENCE LA MAISON DES PARENTS</v>
      </c>
      <c r="C5767" t="s">
        <v>71</v>
      </c>
    </row>
    <row r="5768" spans="1:3" x14ac:dyDescent="0.25">
      <c r="A5768" t="str">
        <f>"750041527"</f>
        <v>750041527</v>
      </c>
      <c r="B5768" t="str">
        <f>"EHPAD KORIAN BRUNE"</f>
        <v>EHPAD KORIAN BRUNE</v>
      </c>
      <c r="C5768" t="s">
        <v>71</v>
      </c>
    </row>
    <row r="5769" spans="1:3" x14ac:dyDescent="0.25">
      <c r="A5769" t="str">
        <f>"750041634"</f>
        <v>750041634</v>
      </c>
      <c r="B5769" t="str">
        <f>"EHPAD ACPPA PEAN"</f>
        <v>EHPAD ACPPA PEAN</v>
      </c>
      <c r="C5769" t="s">
        <v>71</v>
      </c>
    </row>
    <row r="5770" spans="1:3" x14ac:dyDescent="0.25">
      <c r="A5770" t="str">
        <f>"750041659"</f>
        <v>750041659</v>
      </c>
      <c r="B5770" t="str">
        <f>"EHPAD LES JARDINS DE BELLEVILLE"</f>
        <v>EHPAD LES JARDINS DE BELLEVILLE</v>
      </c>
      <c r="C5770" t="s">
        <v>71</v>
      </c>
    </row>
    <row r="5771" spans="1:3" x14ac:dyDescent="0.25">
      <c r="A5771" t="str">
        <f>"750041790"</f>
        <v>750041790</v>
      </c>
      <c r="B5771" t="str">
        <f>"EHPAD RESIDENCE AMARAGGI"</f>
        <v>EHPAD RESIDENCE AMARAGGI</v>
      </c>
      <c r="C5771" t="s">
        <v>71</v>
      </c>
    </row>
    <row r="5772" spans="1:3" x14ac:dyDescent="0.25">
      <c r="A5772" t="str">
        <f>"750042731"</f>
        <v>750042731</v>
      </c>
      <c r="B5772" t="str">
        <f>"EHPAD RESIDENCE LES ISSAMBRES"</f>
        <v>EHPAD RESIDENCE LES ISSAMBRES</v>
      </c>
      <c r="C5772" t="s">
        <v>71</v>
      </c>
    </row>
    <row r="5773" spans="1:3" x14ac:dyDescent="0.25">
      <c r="A5773" t="str">
        <f>"750044232"</f>
        <v>750044232</v>
      </c>
      <c r="B5773" t="str">
        <f>"EHPAD BASTILLE"</f>
        <v>EHPAD BASTILLE</v>
      </c>
      <c r="C5773" t="s">
        <v>71</v>
      </c>
    </row>
    <row r="5774" spans="1:3" x14ac:dyDescent="0.25">
      <c r="A5774" t="str">
        <f>"750045809"</f>
        <v>750045809</v>
      </c>
      <c r="B5774" t="str">
        <f>"EHPAD LE CANAL DES MARAICHERS"</f>
        <v>EHPAD LE CANAL DES MARAICHERS</v>
      </c>
      <c r="C5774" t="s">
        <v>71</v>
      </c>
    </row>
    <row r="5775" spans="1:3" x14ac:dyDescent="0.25">
      <c r="A5775" t="str">
        <f>"750046351"</f>
        <v>750046351</v>
      </c>
      <c r="B5775" t="str">
        <f>"EHPAD RESIDENCE TROCADERO"</f>
        <v>EHPAD RESIDENCE TROCADERO</v>
      </c>
      <c r="C5775" t="s">
        <v>71</v>
      </c>
    </row>
    <row r="5776" spans="1:3" x14ac:dyDescent="0.25">
      <c r="A5776" t="str">
        <f>"750047672"</f>
        <v>750047672</v>
      </c>
      <c r="B5776" t="str">
        <f>"EHPAD ANNIE GIRARDOT"</f>
        <v>EHPAD ANNIE GIRARDOT</v>
      </c>
      <c r="C5776" t="s">
        <v>71</v>
      </c>
    </row>
    <row r="5777" spans="1:3" x14ac:dyDescent="0.25">
      <c r="A5777" t="str">
        <f>"750047714"</f>
        <v>750047714</v>
      </c>
      <c r="B5777" t="str">
        <f>"EHPAD SAINT AUGUSTIN"</f>
        <v>EHPAD SAINT AUGUSTIN</v>
      </c>
      <c r="C5777" t="s">
        <v>71</v>
      </c>
    </row>
    <row r="5778" spans="1:3" x14ac:dyDescent="0.25">
      <c r="A5778" t="str">
        <f>"750047722"</f>
        <v>750047722</v>
      </c>
      <c r="B5778" t="str">
        <f>"EHPAD CENTRE ROBERT DOISNEAU"</f>
        <v>EHPAD CENTRE ROBERT DOISNEAU</v>
      </c>
      <c r="C5778" t="s">
        <v>71</v>
      </c>
    </row>
    <row r="5779" spans="1:3" x14ac:dyDescent="0.25">
      <c r="A5779" t="str">
        <f>"750048332"</f>
        <v>750048332</v>
      </c>
      <c r="B5779" t="str">
        <f>"EHPAD ANTOINE PORTAIL"</f>
        <v>EHPAD ANTOINE PORTAIL</v>
      </c>
      <c r="C5779" t="s">
        <v>71</v>
      </c>
    </row>
    <row r="5780" spans="1:3" x14ac:dyDescent="0.25">
      <c r="A5780" t="str">
        <f>"750048357"</f>
        <v>750048357</v>
      </c>
      <c r="B5780" t="str">
        <f>"EHPAD ORPEA BATIGNOLLES"</f>
        <v>EHPAD ORPEA BATIGNOLLES</v>
      </c>
      <c r="C5780" t="s">
        <v>71</v>
      </c>
    </row>
    <row r="5781" spans="1:3" x14ac:dyDescent="0.25">
      <c r="A5781" t="str">
        <f>"750048365"</f>
        <v>750048365</v>
      </c>
      <c r="B5781" t="str">
        <f>"EHPAD CASVP HUGUETTE VALSECCHI"</f>
        <v>EHPAD CASVP HUGUETTE VALSECCHI</v>
      </c>
      <c r="C5781" t="s">
        <v>71</v>
      </c>
    </row>
    <row r="5782" spans="1:3" x14ac:dyDescent="0.25">
      <c r="A5782" t="str">
        <f>"750048373"</f>
        <v>750048373</v>
      </c>
      <c r="B5782" t="str">
        <f>"EHPAD CASVP ALICE PRIN"</f>
        <v>EHPAD CASVP ALICE PRIN</v>
      </c>
      <c r="C5782" t="s">
        <v>71</v>
      </c>
    </row>
    <row r="5783" spans="1:3" x14ac:dyDescent="0.25">
      <c r="A5783" t="str">
        <f>"750048381"</f>
        <v>750048381</v>
      </c>
      <c r="B5783" t="str">
        <f>"EHPAD COS ALICE GUY"</f>
        <v>EHPAD COS ALICE GUY</v>
      </c>
      <c r="C5783" t="s">
        <v>71</v>
      </c>
    </row>
    <row r="5784" spans="1:3" x14ac:dyDescent="0.25">
      <c r="A5784" t="str">
        <f>"750054322"</f>
        <v>750054322</v>
      </c>
      <c r="B5784" t="str">
        <f>"EHPAD RESIDENCE LES INTEMPORELLES"</f>
        <v>EHPAD RESIDENCE LES INTEMPORELLES</v>
      </c>
      <c r="C5784" t="s">
        <v>71</v>
      </c>
    </row>
    <row r="5785" spans="1:3" x14ac:dyDescent="0.25">
      <c r="A5785" t="str">
        <f>"750056491"</f>
        <v>750056491</v>
      </c>
      <c r="B5785" t="str">
        <f>"EHPAD RESIDENCE CASTAGNARY"</f>
        <v>EHPAD RESIDENCE CASTAGNARY</v>
      </c>
      <c r="C5785" t="s">
        <v>71</v>
      </c>
    </row>
    <row r="5786" spans="1:3" x14ac:dyDescent="0.25">
      <c r="A5786" t="str">
        <f>"750057101"</f>
        <v>750057101</v>
      </c>
      <c r="B5786" t="str">
        <f>"EHPAD VILLA DANIELLE TORELLI"</f>
        <v>EHPAD VILLA DANIELLE TORELLI</v>
      </c>
      <c r="C5786" t="s">
        <v>71</v>
      </c>
    </row>
    <row r="5787" spans="1:3" x14ac:dyDescent="0.25">
      <c r="A5787" t="str">
        <f>"750057366"</f>
        <v>750057366</v>
      </c>
      <c r="B5787" t="str">
        <f>"EHPAD LES TERRASSES DE MOZART"</f>
        <v>EHPAD LES TERRASSES DE MOZART</v>
      </c>
      <c r="C5787" t="s">
        <v>71</v>
      </c>
    </row>
    <row r="5788" spans="1:3" x14ac:dyDescent="0.25">
      <c r="A5788" t="str">
        <f>"750057606"</f>
        <v>750057606</v>
      </c>
      <c r="B5788" t="str">
        <f>"EHPAD COS JACQUES BARROT"</f>
        <v>EHPAD COS JACQUES BARROT</v>
      </c>
      <c r="C5788" t="s">
        <v>71</v>
      </c>
    </row>
    <row r="5789" spans="1:3" x14ac:dyDescent="0.25">
      <c r="A5789" t="str">
        <f>"750071375"</f>
        <v>750071375</v>
      </c>
      <c r="B5789" t="str">
        <f>"EHPAD JEAN-BAPTISTE CARPEAUX"</f>
        <v>EHPAD JEAN-BAPTISTE CARPEAUX</v>
      </c>
      <c r="C5789" t="s">
        <v>71</v>
      </c>
    </row>
    <row r="5790" spans="1:3" x14ac:dyDescent="0.25">
      <c r="A5790" t="str">
        <f>"750300717"</f>
        <v>750300717</v>
      </c>
      <c r="B5790" t="str">
        <f>"EHPAD RESIDENCE CHAILLOT"</f>
        <v>EHPAD RESIDENCE CHAILLOT</v>
      </c>
      <c r="C5790" t="s">
        <v>71</v>
      </c>
    </row>
    <row r="5791" spans="1:3" x14ac:dyDescent="0.25">
      <c r="A5791" t="str">
        <f>"750721573"</f>
        <v>750721573</v>
      </c>
      <c r="B5791" t="str">
        <f>"EHPAD SARA WEILL-RAYNAL"</f>
        <v>EHPAD SARA WEILL-RAYNAL</v>
      </c>
      <c r="C5791" t="s">
        <v>71</v>
      </c>
    </row>
    <row r="5792" spans="1:3" x14ac:dyDescent="0.25">
      <c r="A5792" t="str">
        <f>"750800427"</f>
        <v>750800427</v>
      </c>
      <c r="B5792" t="str">
        <f>"EHPAD AMITIE ET PARTAGE"</f>
        <v>EHPAD AMITIE ET PARTAGE</v>
      </c>
      <c r="C5792" t="s">
        <v>71</v>
      </c>
    </row>
    <row r="5793" spans="1:3" x14ac:dyDescent="0.25">
      <c r="A5793" t="str">
        <f>"750800435"</f>
        <v>750800435</v>
      </c>
      <c r="B5793" t="str">
        <f>"EHPAD RESIDENCE NOTRE DAME DES CHAMPS"</f>
        <v>EHPAD RESIDENCE NOTRE DAME DES CHAMPS</v>
      </c>
      <c r="C5793" t="s">
        <v>71</v>
      </c>
    </row>
    <row r="5794" spans="1:3" x14ac:dyDescent="0.25">
      <c r="A5794" t="str">
        <f>"750800500"</f>
        <v>750800500</v>
      </c>
      <c r="B5794" t="str">
        <f>"EHPAD MA MAISON PICPUS"</f>
        <v>EHPAD MA MAISON PICPUS</v>
      </c>
      <c r="C5794" t="s">
        <v>71</v>
      </c>
    </row>
    <row r="5795" spans="1:3" x14ac:dyDescent="0.25">
      <c r="A5795" t="str">
        <f>"750800518"</f>
        <v>750800518</v>
      </c>
      <c r="B5795" t="str">
        <f>"EHPAD RESIDENCE CATHERINE LABOURE"</f>
        <v>EHPAD RESIDENCE CATHERINE LABOURE</v>
      </c>
      <c r="C5795" t="s">
        <v>71</v>
      </c>
    </row>
    <row r="5796" spans="1:3" x14ac:dyDescent="0.25">
      <c r="A5796" t="str">
        <f>"750800526"</f>
        <v>750800526</v>
      </c>
      <c r="B5796" t="str">
        <f>"EHPAD PROTESTANTE DE LA MUETTE"</f>
        <v>EHPAD PROTESTANTE DE LA MUETTE</v>
      </c>
      <c r="C5796" t="s">
        <v>71</v>
      </c>
    </row>
    <row r="5797" spans="1:3" x14ac:dyDescent="0.25">
      <c r="A5797" t="str">
        <f>"750800534"</f>
        <v>750800534</v>
      </c>
      <c r="B5797" t="str">
        <f>"EHPAD MAISON DE RETRAITE ET GERIATRIE"</f>
        <v>EHPAD MAISON DE RETRAITE ET GERIATRIE</v>
      </c>
      <c r="C5797" t="s">
        <v>71</v>
      </c>
    </row>
    <row r="5798" spans="1:3" x14ac:dyDescent="0.25">
      <c r="A5798" t="str">
        <f>"750800559"</f>
        <v>750800559</v>
      </c>
      <c r="B5798" t="str">
        <f>"EHPAD DES SOEURS AUGUSTINES"</f>
        <v>EHPAD DES SOEURS AUGUSTINES</v>
      </c>
      <c r="C5798" t="s">
        <v>71</v>
      </c>
    </row>
    <row r="5799" spans="1:3" x14ac:dyDescent="0.25">
      <c r="A5799" t="str">
        <f>"750800567"</f>
        <v>750800567</v>
      </c>
      <c r="B5799" t="str">
        <f>"EHPAD SAINTE MONIQUE"</f>
        <v>EHPAD SAINTE MONIQUE</v>
      </c>
      <c r="C5799" t="s">
        <v>71</v>
      </c>
    </row>
    <row r="5800" spans="1:3" x14ac:dyDescent="0.25">
      <c r="A5800" t="str">
        <f>"750800658"</f>
        <v>750800658</v>
      </c>
      <c r="B5800" t="str">
        <f>"EHPAD VILLA JULES JANIN"</f>
        <v>EHPAD VILLA JULES JANIN</v>
      </c>
      <c r="C5800" t="s">
        <v>71</v>
      </c>
    </row>
    <row r="5801" spans="1:3" x14ac:dyDescent="0.25">
      <c r="A5801" t="str">
        <f>"750800666"</f>
        <v>750800666</v>
      </c>
      <c r="B5801" t="str">
        <f>"EHPAD FOYER DES ISRAELITES REFUGIES"</f>
        <v>EHPAD FOYER DES ISRAELITES REFUGIES</v>
      </c>
      <c r="C5801" t="s">
        <v>71</v>
      </c>
    </row>
    <row r="5802" spans="1:3" x14ac:dyDescent="0.25">
      <c r="A5802" t="str">
        <f>"750801607"</f>
        <v>750801607</v>
      </c>
      <c r="B5802" t="str">
        <f>"EHPAD ALQUIER DEBROUSSE"</f>
        <v>EHPAD ALQUIER DEBROUSSE</v>
      </c>
      <c r="C5802" t="s">
        <v>71</v>
      </c>
    </row>
    <row r="5803" spans="1:3" x14ac:dyDescent="0.25">
      <c r="A5803" t="str">
        <f>"750803009"</f>
        <v>750803009</v>
      </c>
      <c r="B5803" t="str">
        <f>"EHPAD MARIE THERESE"</f>
        <v>EHPAD MARIE THERESE</v>
      </c>
      <c r="C5803" t="s">
        <v>71</v>
      </c>
    </row>
    <row r="5804" spans="1:3" x14ac:dyDescent="0.25">
      <c r="A5804" t="str">
        <f>"750803603"</f>
        <v>750803603</v>
      </c>
      <c r="B5804" t="str">
        <f>"EHPAD COS HOSPITALITE FAMILIALE"</f>
        <v>EHPAD COS HOSPITALITE FAMILIALE</v>
      </c>
      <c r="C5804" t="s">
        <v>71</v>
      </c>
    </row>
    <row r="5805" spans="1:3" x14ac:dyDescent="0.25">
      <c r="A5805" t="str">
        <f>"750803769"</f>
        <v>750803769</v>
      </c>
      <c r="B5805" t="str">
        <f>"EHPAD GRENELLE"</f>
        <v>EHPAD GRENELLE</v>
      </c>
      <c r="C5805" t="s">
        <v>71</v>
      </c>
    </row>
    <row r="5806" spans="1:3" x14ac:dyDescent="0.25">
      <c r="A5806" t="str">
        <f>"750809220"</f>
        <v>750809220</v>
      </c>
      <c r="B5806" t="str">
        <f>"EHPAD KORIAN CHAMP DE MARS"</f>
        <v>EHPAD KORIAN CHAMP DE MARS</v>
      </c>
      <c r="C5806" t="s">
        <v>71</v>
      </c>
    </row>
    <row r="5807" spans="1:3" x14ac:dyDescent="0.25">
      <c r="A5807" t="str">
        <f>"750814949"</f>
        <v>750814949</v>
      </c>
      <c r="B5807" t="str">
        <f>"EHPAD RESIDENCE LES AIRELLES"</f>
        <v>EHPAD RESIDENCE LES AIRELLES</v>
      </c>
      <c r="C5807" t="s">
        <v>71</v>
      </c>
    </row>
    <row r="5808" spans="1:3" x14ac:dyDescent="0.25">
      <c r="A5808" t="str">
        <f>"750823965"</f>
        <v>750823965</v>
      </c>
      <c r="B5808" t="str">
        <f>"EHPAD JARDIN DES PLANTES"</f>
        <v>EHPAD JARDIN DES PLANTES</v>
      </c>
      <c r="C5808" t="s">
        <v>71</v>
      </c>
    </row>
    <row r="5809" spans="1:3" x14ac:dyDescent="0.25">
      <c r="A5809" t="str">
        <f>"750828709"</f>
        <v>750828709</v>
      </c>
      <c r="B5809" t="str">
        <f>"EHPAD KORIAN LES AMANDIERS"</f>
        <v>EHPAD KORIAN LES AMANDIERS</v>
      </c>
      <c r="C5809" t="s">
        <v>71</v>
      </c>
    </row>
    <row r="5810" spans="1:3" x14ac:dyDescent="0.25">
      <c r="A5810" t="str">
        <f>"750828758"</f>
        <v>750828758</v>
      </c>
      <c r="B5810" t="str">
        <f>"EHPAD RESIDENCE LA PIRANDELLE"</f>
        <v>EHPAD RESIDENCE LA PIRANDELLE</v>
      </c>
      <c r="C5810" t="s">
        <v>71</v>
      </c>
    </row>
    <row r="5811" spans="1:3" x14ac:dyDescent="0.25">
      <c r="A5811" t="str">
        <f>"750828824"</f>
        <v>750828824</v>
      </c>
      <c r="B5811" t="str">
        <f>"EHPAD LES JARDINS D IROISE"</f>
        <v>EHPAD LES JARDINS D IROISE</v>
      </c>
      <c r="C5811" t="s">
        <v>71</v>
      </c>
    </row>
    <row r="5812" spans="1:3" x14ac:dyDescent="0.25">
      <c r="A5812" t="str">
        <f>"750831208"</f>
        <v>750831208</v>
      </c>
      <c r="B5812" t="str">
        <f>"EHPAD RESIDENCE SANTE FURTADO HEINE"</f>
        <v>EHPAD RESIDENCE SANTE FURTADO HEINE</v>
      </c>
      <c r="C5812" t="s">
        <v>71</v>
      </c>
    </row>
    <row r="5813" spans="1:3" x14ac:dyDescent="0.25">
      <c r="A5813" t="str">
        <f>"750831216"</f>
        <v>750831216</v>
      </c>
      <c r="B5813" t="str">
        <f>"EHPAD KORIAN SAINT SIMON"</f>
        <v>EHPAD KORIAN SAINT SIMON</v>
      </c>
      <c r="C5813" t="s">
        <v>71</v>
      </c>
    </row>
    <row r="5814" spans="1:3" x14ac:dyDescent="0.25">
      <c r="A5814" t="str">
        <f>"750831224"</f>
        <v>750831224</v>
      </c>
      <c r="B5814" t="str">
        <f>"EHPAD MA MAISON BRETEUIL"</f>
        <v>EHPAD MA MAISON BRETEUIL</v>
      </c>
      <c r="C5814" t="s">
        <v>71</v>
      </c>
    </row>
    <row r="5815" spans="1:3" x14ac:dyDescent="0.25">
      <c r="A5815" t="str">
        <f>"750831448"</f>
        <v>750831448</v>
      </c>
      <c r="B5815" t="str">
        <f>"EHPAD RESIDENCE SAINT JACQUES"</f>
        <v>EHPAD RESIDENCE SAINT JACQUES</v>
      </c>
      <c r="C5815" t="s">
        <v>71</v>
      </c>
    </row>
    <row r="5816" spans="1:3" x14ac:dyDescent="0.25">
      <c r="A5816" t="str">
        <f>"750832578"</f>
        <v>750832578</v>
      </c>
      <c r="B5816" t="str">
        <f>"EHPAD RESIDENCE SANTE OASIS"</f>
        <v>EHPAD RESIDENCE SANTE OASIS</v>
      </c>
      <c r="C5816" t="s">
        <v>71</v>
      </c>
    </row>
    <row r="5817" spans="1:3" x14ac:dyDescent="0.25">
      <c r="A5817" t="str">
        <f>"750832586"</f>
        <v>750832586</v>
      </c>
      <c r="B5817" t="str">
        <f>"EHPAD KORIAN MONCEAU"</f>
        <v>EHPAD KORIAN MONCEAU</v>
      </c>
      <c r="C5817" t="s">
        <v>71</v>
      </c>
    </row>
    <row r="5818" spans="1:3" x14ac:dyDescent="0.25">
      <c r="A5818" t="str">
        <f>"760011171"</f>
        <v>760011171</v>
      </c>
      <c r="B5818" t="str">
        <f>"EHPAD ST-LEGER BOURG DENIS CH DARNETAL"</f>
        <v>EHPAD ST-LEGER BOURG DENIS CH DARNETAL</v>
      </c>
      <c r="C5818" t="s">
        <v>69</v>
      </c>
    </row>
    <row r="5819" spans="1:3" x14ac:dyDescent="0.25">
      <c r="A5819" t="str">
        <f>"760023028"</f>
        <v>760023028</v>
      </c>
      <c r="B5819" t="str">
        <f>"EHPAD RESIDENCE DE LA VARENNE"</f>
        <v>EHPAD RESIDENCE DE LA VARENNE</v>
      </c>
      <c r="C5819" t="s">
        <v>69</v>
      </c>
    </row>
    <row r="5820" spans="1:3" x14ac:dyDescent="0.25">
      <c r="A5820" t="str">
        <f>"760023218"</f>
        <v>760023218</v>
      </c>
      <c r="B5820" t="str">
        <f>"EHPAD LES CHARMETTES"</f>
        <v>EHPAD LES CHARMETTES</v>
      </c>
      <c r="C5820" t="s">
        <v>69</v>
      </c>
    </row>
    <row r="5821" spans="1:3" x14ac:dyDescent="0.25">
      <c r="A5821" t="str">
        <f>"760023259"</f>
        <v>760023259</v>
      </c>
      <c r="B5821" t="str">
        <f>"EHPAD KORIAN LES HAUTS DE L'ABBAYE"</f>
        <v>EHPAD KORIAN LES HAUTS DE L'ABBAYE</v>
      </c>
      <c r="C5821" t="s">
        <v>69</v>
      </c>
    </row>
    <row r="5822" spans="1:3" x14ac:dyDescent="0.25">
      <c r="A5822" t="str">
        <f>"760023358"</f>
        <v>760023358</v>
      </c>
      <c r="B5822" t="str">
        <f>"EHPAD LES JARDINS DE MATISSE"</f>
        <v>EHPAD LES JARDINS DE MATISSE</v>
      </c>
      <c r="C5822" t="s">
        <v>69</v>
      </c>
    </row>
    <row r="5823" spans="1:3" x14ac:dyDescent="0.25">
      <c r="A5823" t="str">
        <f>"760023549"</f>
        <v>760023549</v>
      </c>
      <c r="B5823" t="str">
        <f>"EHPAD VILLA SAINT NICOLAS"</f>
        <v>EHPAD VILLA SAINT NICOLAS</v>
      </c>
      <c r="C5823" t="s">
        <v>69</v>
      </c>
    </row>
    <row r="5824" spans="1:3" x14ac:dyDescent="0.25">
      <c r="A5824" t="str">
        <f>"760023572"</f>
        <v>760023572</v>
      </c>
      <c r="B5824" t="str">
        <f>"EHPAD LA BOISERAIE"</f>
        <v>EHPAD LA BOISERAIE</v>
      </c>
      <c r="C5824" t="s">
        <v>69</v>
      </c>
    </row>
    <row r="5825" spans="1:3" x14ac:dyDescent="0.25">
      <c r="A5825" t="str">
        <f>"760023697"</f>
        <v>760023697</v>
      </c>
      <c r="B5825" t="str">
        <f>"EHPAD LES JONQUILLES"</f>
        <v>EHPAD LES JONQUILLES</v>
      </c>
      <c r="C5825" t="s">
        <v>69</v>
      </c>
    </row>
    <row r="5826" spans="1:3" x14ac:dyDescent="0.25">
      <c r="A5826" t="str">
        <f>"760025973"</f>
        <v>760025973</v>
      </c>
      <c r="B5826" t="str">
        <f>"EHPAD KORIAN LA PORTE OCÉANE"</f>
        <v>EHPAD KORIAN LA PORTE OCÉANE</v>
      </c>
      <c r="C5826" t="s">
        <v>69</v>
      </c>
    </row>
    <row r="5827" spans="1:3" x14ac:dyDescent="0.25">
      <c r="A5827" t="str">
        <f>"760026732"</f>
        <v>760026732</v>
      </c>
      <c r="B5827" t="str">
        <f>"EHPAD RESIDENCE CAROLA"</f>
        <v>EHPAD RESIDENCE CAROLA</v>
      </c>
      <c r="C5827" t="s">
        <v>69</v>
      </c>
    </row>
    <row r="5828" spans="1:3" x14ac:dyDescent="0.25">
      <c r="A5828" t="str">
        <f>"760026773"</f>
        <v>760026773</v>
      </c>
      <c r="B5828" t="str">
        <f>"EHPAD LES JARDINS D'ELODIE"</f>
        <v>EHPAD LES JARDINS D'ELODIE</v>
      </c>
      <c r="C5828" t="s">
        <v>69</v>
      </c>
    </row>
    <row r="5829" spans="1:3" x14ac:dyDescent="0.25">
      <c r="A5829" t="str">
        <f>"760027268"</f>
        <v>760027268</v>
      </c>
      <c r="B5829" t="str">
        <f>"EHPAD MICHEL GRANDPIERRE"</f>
        <v>EHPAD MICHEL GRANDPIERRE</v>
      </c>
      <c r="C5829" t="s">
        <v>69</v>
      </c>
    </row>
    <row r="5830" spans="1:3" x14ac:dyDescent="0.25">
      <c r="A5830" t="str">
        <f>"760027557"</f>
        <v>760027557</v>
      </c>
      <c r="B5830" t="str">
        <f>"LES ESCALES - EHPAD - PASTEUR"</f>
        <v>LES ESCALES - EHPAD - PASTEUR</v>
      </c>
      <c r="C5830" t="s">
        <v>69</v>
      </c>
    </row>
    <row r="5831" spans="1:3" x14ac:dyDescent="0.25">
      <c r="A5831" t="str">
        <f>"760028290"</f>
        <v>760028290</v>
      </c>
      <c r="B5831" t="str">
        <f>"EHPAD YVON LAMOUR - FECAMP"</f>
        <v>EHPAD YVON LAMOUR - FECAMP</v>
      </c>
      <c r="C5831" t="s">
        <v>69</v>
      </c>
    </row>
    <row r="5832" spans="1:3" x14ac:dyDescent="0.25">
      <c r="A5832" t="str">
        <f>"760028621"</f>
        <v>760028621</v>
      </c>
      <c r="B5832" t="str">
        <f>"EHPAD JACQUES BONVOISIN"</f>
        <v>EHPAD JACQUES BONVOISIN</v>
      </c>
      <c r="C5832" t="s">
        <v>69</v>
      </c>
    </row>
    <row r="5833" spans="1:3" x14ac:dyDescent="0.25">
      <c r="A5833" t="str">
        <f>"760028639"</f>
        <v>760028639</v>
      </c>
      <c r="B5833" t="str">
        <f>"EHPAD JEAN FERRAT"</f>
        <v>EHPAD JEAN FERRAT</v>
      </c>
      <c r="C5833" t="s">
        <v>69</v>
      </c>
    </row>
    <row r="5834" spans="1:3" x14ac:dyDescent="0.25">
      <c r="A5834" t="str">
        <f>"760028894"</f>
        <v>760028894</v>
      </c>
      <c r="B5834" t="str">
        <f>"EHPAD L'ARCHIPEL DE DUCLAIR"</f>
        <v>EHPAD L'ARCHIPEL DE DUCLAIR</v>
      </c>
      <c r="C5834" t="s">
        <v>69</v>
      </c>
    </row>
    <row r="5835" spans="1:3" x14ac:dyDescent="0.25">
      <c r="A5835" t="str">
        <f>"760035568"</f>
        <v>760035568</v>
      </c>
      <c r="B5835" t="str">
        <f>"EHPAD LES COLLINES DE LA SEINE"</f>
        <v>EHPAD LES COLLINES DE LA SEINE</v>
      </c>
      <c r="C5835" t="s">
        <v>69</v>
      </c>
    </row>
    <row r="5836" spans="1:3" x14ac:dyDescent="0.25">
      <c r="A5836" t="str">
        <f>"760037614"</f>
        <v>760037614</v>
      </c>
      <c r="B5836" t="str">
        <f>"LES ESCALES - EHPAD - DESAINT-JEAN"</f>
        <v>LES ESCALES - EHPAD - DESAINT-JEAN</v>
      </c>
      <c r="C5836" t="s">
        <v>69</v>
      </c>
    </row>
    <row r="5837" spans="1:3" x14ac:dyDescent="0.25">
      <c r="A5837" t="str">
        <f>"760037622"</f>
        <v>760037622</v>
      </c>
      <c r="B5837" t="str">
        <f>"LES ESCALES - EHPAD - LES COLIBRIS"</f>
        <v>LES ESCALES - EHPAD - LES COLIBRIS</v>
      </c>
      <c r="C5837" t="s">
        <v>69</v>
      </c>
    </row>
    <row r="5838" spans="1:3" x14ac:dyDescent="0.25">
      <c r="A5838" t="str">
        <f>"760038778"</f>
        <v>760038778</v>
      </c>
      <c r="B5838" t="str">
        <f>"RÉSIDENCE MÉRIDIENNE"</f>
        <v>RÉSIDENCE MÉRIDIENNE</v>
      </c>
      <c r="C5838" t="s">
        <v>69</v>
      </c>
    </row>
    <row r="5839" spans="1:3" x14ac:dyDescent="0.25">
      <c r="A5839" t="str">
        <f>"760781609"</f>
        <v>760781609</v>
      </c>
      <c r="B5839" t="str">
        <f>"EHPAD JEAN FERRAT"</f>
        <v>EHPAD JEAN FERRAT</v>
      </c>
      <c r="C5839" t="s">
        <v>69</v>
      </c>
    </row>
    <row r="5840" spans="1:3" x14ac:dyDescent="0.25">
      <c r="A5840" t="str">
        <f>"760781633"</f>
        <v>760781633</v>
      </c>
      <c r="B5840" t="str">
        <f>"EHPAD ETS PUB DEP GRUGNY"</f>
        <v>EHPAD ETS PUB DEP GRUGNY</v>
      </c>
      <c r="C5840" t="s">
        <v>69</v>
      </c>
    </row>
    <row r="5841" spans="1:3" x14ac:dyDescent="0.25">
      <c r="A5841" t="str">
        <f>"760782128"</f>
        <v>760782128</v>
      </c>
      <c r="B5841" t="str">
        <f>"EHPAD MAURICE COLLET"</f>
        <v>EHPAD MAURICE COLLET</v>
      </c>
      <c r="C5841" t="s">
        <v>69</v>
      </c>
    </row>
    <row r="5842" spans="1:3" x14ac:dyDescent="0.25">
      <c r="A5842" t="str">
        <f>"760782185"</f>
        <v>760782185</v>
      </c>
      <c r="B5842" t="str">
        <f>"EHPAD RESIDENCE DU DUC D'AUMALE"</f>
        <v>EHPAD RESIDENCE DU DUC D'AUMALE</v>
      </c>
      <c r="C5842" t="s">
        <v>69</v>
      </c>
    </row>
    <row r="5843" spans="1:3" x14ac:dyDescent="0.25">
      <c r="A5843" t="str">
        <f>"760782193"</f>
        <v>760782193</v>
      </c>
      <c r="B5843" t="str">
        <f>"EHPAD MASSE DE CORMEILLES"</f>
        <v>EHPAD MASSE DE CORMEILLES</v>
      </c>
      <c r="C5843" t="s">
        <v>69</v>
      </c>
    </row>
    <row r="5844" spans="1:3" x14ac:dyDescent="0.25">
      <c r="A5844" t="str">
        <f>"760782201"</f>
        <v>760782201</v>
      </c>
      <c r="B5844" t="str">
        <f>"EHPAD GILLES MARTIN"</f>
        <v>EHPAD GILLES MARTIN</v>
      </c>
      <c r="C5844" t="s">
        <v>69</v>
      </c>
    </row>
    <row r="5845" spans="1:3" x14ac:dyDescent="0.25">
      <c r="A5845" t="str">
        <f>"760782268"</f>
        <v>760782268</v>
      </c>
      <c r="B5845" t="str">
        <f>"EHPAD LEMARCHAND D'ENVERMEU"</f>
        <v>EHPAD LEMARCHAND D'ENVERMEU</v>
      </c>
      <c r="C5845" t="s">
        <v>69</v>
      </c>
    </row>
    <row r="5846" spans="1:3" x14ac:dyDescent="0.25">
      <c r="A5846" t="str">
        <f>"760782284"</f>
        <v>760782284</v>
      </c>
      <c r="B5846" t="str">
        <f>"EHPAD BOUIC MANOURY DE FAUVILLE"</f>
        <v>EHPAD BOUIC MANOURY DE FAUVILLE</v>
      </c>
      <c r="C5846" t="s">
        <v>69</v>
      </c>
    </row>
    <row r="5847" spans="1:3" x14ac:dyDescent="0.25">
      <c r="A5847" t="str">
        <f>"760782292"</f>
        <v>760782292</v>
      </c>
      <c r="B5847" t="str">
        <f>"EHPAD RESIDENCE NOURY DE LA FEUILLIE"</f>
        <v>EHPAD RESIDENCE NOURY DE LA FEUILLIE</v>
      </c>
      <c r="C5847" t="s">
        <v>69</v>
      </c>
    </row>
    <row r="5848" spans="1:3" x14ac:dyDescent="0.25">
      <c r="A5848" t="str">
        <f>"760782300"</f>
        <v>760782300</v>
      </c>
      <c r="B5848" t="str">
        <f>"EHPAD FONDATION BEAUFILS"</f>
        <v>EHPAD FONDATION BEAUFILS</v>
      </c>
      <c r="C5848" t="s">
        <v>69</v>
      </c>
    </row>
    <row r="5849" spans="1:3" x14ac:dyDescent="0.25">
      <c r="A5849" t="str">
        <f>"760782318"</f>
        <v>760782318</v>
      </c>
      <c r="B5849" t="str">
        <f>"EHPAD LEFEBVRE-BLONDEL-DUBUS"</f>
        <v>EHPAD LEFEBVRE-BLONDEL-DUBUS</v>
      </c>
      <c r="C5849" t="s">
        <v>69</v>
      </c>
    </row>
    <row r="5850" spans="1:3" x14ac:dyDescent="0.25">
      <c r="A5850" t="str">
        <f>"760782326"</f>
        <v>760782326</v>
      </c>
      <c r="B5850" t="str">
        <f>"EHPAD A.F LE BOULTZ"</f>
        <v>EHPAD A.F LE BOULTZ</v>
      </c>
      <c r="C5850" t="s">
        <v>69</v>
      </c>
    </row>
    <row r="5851" spans="1:3" x14ac:dyDescent="0.25">
      <c r="A5851" t="str">
        <f>"760782342"</f>
        <v>760782342</v>
      </c>
      <c r="B5851" t="str">
        <f>"EHPAD ALBERT JEAN"</f>
        <v>EHPAD ALBERT JEAN</v>
      </c>
      <c r="C5851" t="s">
        <v>69</v>
      </c>
    </row>
    <row r="5852" spans="1:3" x14ac:dyDescent="0.25">
      <c r="A5852" t="str">
        <f>"760782359"</f>
        <v>760782359</v>
      </c>
      <c r="B5852" t="str">
        <f>"EHPAD 'LE TRAIT D'UNION DU CAILLY'"</f>
        <v>EHPAD 'LE TRAIT D'UNION DU CAILLY'</v>
      </c>
      <c r="C5852" t="s">
        <v>69</v>
      </c>
    </row>
    <row r="5853" spans="1:3" x14ac:dyDescent="0.25">
      <c r="A5853" t="str">
        <f>"760782367"</f>
        <v>760782367</v>
      </c>
      <c r="B5853" t="str">
        <f>"EHPAD LA BELLE ETOILE"</f>
        <v>EHPAD LA BELLE ETOILE</v>
      </c>
      <c r="C5853" t="s">
        <v>69</v>
      </c>
    </row>
    <row r="5854" spans="1:3" x14ac:dyDescent="0.25">
      <c r="A5854" t="str">
        <f>"760782375"</f>
        <v>760782375</v>
      </c>
      <c r="B5854" t="str">
        <f>"EHPAD LES MYOSOTIS DE MONTVILLE"</f>
        <v>EHPAD LES MYOSOTIS DE MONTVILLE</v>
      </c>
      <c r="C5854" t="s">
        <v>69</v>
      </c>
    </row>
    <row r="5855" spans="1:3" x14ac:dyDescent="0.25">
      <c r="A5855" t="str">
        <f>"760782383"</f>
        <v>760782383</v>
      </c>
      <c r="B5855" t="str">
        <f>"EHPAD 'COTE DE VELOURS'"</f>
        <v>EHPAD 'COTE DE VELOURS'</v>
      </c>
      <c r="C5855" t="s">
        <v>69</v>
      </c>
    </row>
    <row r="5856" spans="1:3" x14ac:dyDescent="0.25">
      <c r="A5856" t="str">
        <f>"760782391"</f>
        <v>760782391</v>
      </c>
      <c r="B5856" t="str">
        <f>"EHPAD CH DE L'AUSTREBERTHE"</f>
        <v>EHPAD CH DE L'AUSTREBERTHE</v>
      </c>
      <c r="C5856" t="s">
        <v>69</v>
      </c>
    </row>
    <row r="5857" spans="1:3" x14ac:dyDescent="0.25">
      <c r="A5857" t="str">
        <f>"760782409"</f>
        <v>760782409</v>
      </c>
      <c r="B5857" t="str">
        <f>"EHPAD RESIDENCE DE LA SCIE"</f>
        <v>EHPAD RESIDENCE DE LA SCIE</v>
      </c>
      <c r="C5857" t="s">
        <v>69</v>
      </c>
    </row>
    <row r="5858" spans="1:3" x14ac:dyDescent="0.25">
      <c r="A5858" t="str">
        <f>"760782417"</f>
        <v>760782417</v>
      </c>
      <c r="B5858" t="str">
        <f>"EHPAD RESIDENCE D'EAWY"</f>
        <v>EHPAD RESIDENCE D'EAWY</v>
      </c>
      <c r="C5858" t="s">
        <v>69</v>
      </c>
    </row>
    <row r="5859" spans="1:3" x14ac:dyDescent="0.25">
      <c r="A5859" t="str">
        <f>"760782755"</f>
        <v>760782755</v>
      </c>
      <c r="B5859" t="str">
        <f>"EHPAD 'MAISON SAINT JOSEPH'"</f>
        <v>EHPAD 'MAISON SAINT JOSEPH'</v>
      </c>
      <c r="C5859" t="s">
        <v>69</v>
      </c>
    </row>
    <row r="5860" spans="1:3" x14ac:dyDescent="0.25">
      <c r="A5860" t="str">
        <f>"760782896"</f>
        <v>760782896</v>
      </c>
      <c r="B5860" t="str">
        <f>"EHPAD CASTEL ST JOSEPH"</f>
        <v>EHPAD CASTEL ST JOSEPH</v>
      </c>
      <c r="C5860" t="s">
        <v>69</v>
      </c>
    </row>
    <row r="5861" spans="1:3" x14ac:dyDescent="0.25">
      <c r="A5861" t="str">
        <f>"760782904"</f>
        <v>760782904</v>
      </c>
      <c r="B5861" t="str">
        <f>"EHPAD LA POMMERAIE"</f>
        <v>EHPAD LA POMMERAIE</v>
      </c>
      <c r="C5861" t="s">
        <v>69</v>
      </c>
    </row>
    <row r="5862" spans="1:3" x14ac:dyDescent="0.25">
      <c r="A5862" t="str">
        <f>"760790642"</f>
        <v>760790642</v>
      </c>
      <c r="B5862" t="str">
        <f>"EHPAD LA COMPASSION"</f>
        <v>EHPAD LA COMPASSION</v>
      </c>
      <c r="C5862" t="s">
        <v>69</v>
      </c>
    </row>
    <row r="5863" spans="1:3" x14ac:dyDescent="0.25">
      <c r="A5863" t="str">
        <f>"760790659"</f>
        <v>760790659</v>
      </c>
      <c r="B5863" t="str">
        <f>"EHPAD FONDATION LAMAUVE"</f>
        <v>EHPAD FONDATION LAMAUVE</v>
      </c>
      <c r="C5863" t="s">
        <v>69</v>
      </c>
    </row>
    <row r="5864" spans="1:3" x14ac:dyDescent="0.25">
      <c r="A5864" t="str">
        <f>"760790667"</f>
        <v>760790667</v>
      </c>
      <c r="B5864" t="str">
        <f>"EHPAD LE CASTEL SAINT-JACQUES"</f>
        <v>EHPAD LE CASTEL SAINT-JACQUES</v>
      </c>
      <c r="C5864" t="s">
        <v>69</v>
      </c>
    </row>
    <row r="5865" spans="1:3" x14ac:dyDescent="0.25">
      <c r="A5865" t="str">
        <f>"760790675"</f>
        <v>760790675</v>
      </c>
      <c r="B5865" t="str">
        <f>"EHPAD RESIDENCE ST JOSEPH"</f>
        <v>EHPAD RESIDENCE ST JOSEPH</v>
      </c>
      <c r="C5865" t="s">
        <v>69</v>
      </c>
    </row>
    <row r="5866" spans="1:3" x14ac:dyDescent="0.25">
      <c r="A5866" t="str">
        <f>"760790758"</f>
        <v>760790758</v>
      </c>
      <c r="B5866" t="str">
        <f>"EHPAD O VILLAGE OPAD"</f>
        <v>EHPAD O VILLAGE OPAD</v>
      </c>
      <c r="C5866" t="s">
        <v>69</v>
      </c>
    </row>
    <row r="5867" spans="1:3" x14ac:dyDescent="0.25">
      <c r="A5867" t="str">
        <f>"760790832"</f>
        <v>760790832</v>
      </c>
      <c r="B5867" t="str">
        <f>"EHPAD MA MAISON"</f>
        <v>EHPAD MA MAISON</v>
      </c>
      <c r="C5867" t="s">
        <v>69</v>
      </c>
    </row>
    <row r="5868" spans="1:3" x14ac:dyDescent="0.25">
      <c r="A5868" t="str">
        <f>"760790840"</f>
        <v>760790840</v>
      </c>
      <c r="B5868" t="str">
        <f>"EHPAD LA BUISSONNIERE"</f>
        <v>EHPAD LA BUISSONNIERE</v>
      </c>
      <c r="C5868" t="s">
        <v>69</v>
      </c>
    </row>
    <row r="5869" spans="1:3" x14ac:dyDescent="0.25">
      <c r="A5869" t="str">
        <f>"760790873"</f>
        <v>760790873</v>
      </c>
      <c r="B5869" t="str">
        <f>"EHPAD BETHEL BOUCICAUT"</f>
        <v>EHPAD BETHEL BOUCICAUT</v>
      </c>
      <c r="C5869" t="s">
        <v>69</v>
      </c>
    </row>
    <row r="5870" spans="1:3" x14ac:dyDescent="0.25">
      <c r="A5870" t="str">
        <f>"760790907"</f>
        <v>760790907</v>
      </c>
      <c r="B5870" t="str">
        <f>"EHPAD KORIAN LE JARDIN"</f>
        <v>EHPAD KORIAN LE JARDIN</v>
      </c>
      <c r="C5870" t="s">
        <v>69</v>
      </c>
    </row>
    <row r="5871" spans="1:3" x14ac:dyDescent="0.25">
      <c r="A5871" t="str">
        <f>"760790923"</f>
        <v>760790923</v>
      </c>
      <c r="B5871" t="str">
        <f>"EHPAD FOYER SAINT- JOSEPH"</f>
        <v>EHPAD FOYER SAINT- JOSEPH</v>
      </c>
      <c r="C5871" t="s">
        <v>69</v>
      </c>
    </row>
    <row r="5872" spans="1:3" x14ac:dyDescent="0.25">
      <c r="A5872" t="str">
        <f>"760790949"</f>
        <v>760790949</v>
      </c>
      <c r="B5872" t="str">
        <f>"EHPAD  RESIDENCE DES SAPINS"</f>
        <v>EHPAD  RESIDENCE DES SAPINS</v>
      </c>
      <c r="C5872" t="s">
        <v>69</v>
      </c>
    </row>
    <row r="5873" spans="1:3" x14ac:dyDescent="0.25">
      <c r="A5873" t="str">
        <f>"760790956"</f>
        <v>760790956</v>
      </c>
      <c r="B5873" t="str">
        <f>"EHPAD PRO BTP LE CHATEAU BLANC"</f>
        <v>EHPAD PRO BTP LE CHATEAU BLANC</v>
      </c>
      <c r="C5873" t="s">
        <v>69</v>
      </c>
    </row>
    <row r="5874" spans="1:3" x14ac:dyDescent="0.25">
      <c r="A5874" t="str">
        <f>"760791673"</f>
        <v>760791673</v>
      </c>
      <c r="B5874" t="str">
        <f>"EHPAD BOIS DE BLEVILLE"</f>
        <v>EHPAD BOIS DE BLEVILLE</v>
      </c>
      <c r="C5874" t="s">
        <v>69</v>
      </c>
    </row>
    <row r="5875" spans="1:3" x14ac:dyDescent="0.25">
      <c r="A5875" t="str">
        <f>"760791681"</f>
        <v>760791681</v>
      </c>
      <c r="B5875" t="str">
        <f>"EHPAD SAINT JUST"</f>
        <v>EHPAD SAINT JUST</v>
      </c>
      <c r="C5875" t="s">
        <v>69</v>
      </c>
    </row>
    <row r="5876" spans="1:3" x14ac:dyDescent="0.25">
      <c r="A5876" t="str">
        <f>"760792044"</f>
        <v>760792044</v>
      </c>
      <c r="B5876" t="str">
        <f>"EHPAD LES PAQUERETTES"</f>
        <v>EHPAD LES PAQUERETTES</v>
      </c>
      <c r="C5876" t="s">
        <v>69</v>
      </c>
    </row>
    <row r="5877" spans="1:3" x14ac:dyDescent="0.25">
      <c r="A5877" t="str">
        <f>"760792200"</f>
        <v>760792200</v>
      </c>
      <c r="B5877" t="str">
        <f>"EHPAD LES TERRASSES"</f>
        <v>EHPAD LES TERRASSES</v>
      </c>
      <c r="C5877" t="s">
        <v>69</v>
      </c>
    </row>
    <row r="5878" spans="1:3" x14ac:dyDescent="0.25">
      <c r="A5878" t="str">
        <f>"760792978"</f>
        <v>760792978</v>
      </c>
      <c r="B5878" t="str">
        <f>"EHPAD SAINTE ANNE"</f>
        <v>EHPAD SAINTE ANNE</v>
      </c>
      <c r="C5878" t="s">
        <v>69</v>
      </c>
    </row>
    <row r="5879" spans="1:3" x14ac:dyDescent="0.25">
      <c r="A5879" t="str">
        <f>"760800631"</f>
        <v>760800631</v>
      </c>
      <c r="B5879" t="str">
        <f>"LES ESCALES - EHPAD  - IRIS"</f>
        <v>LES ESCALES - EHPAD  - IRIS</v>
      </c>
      <c r="C5879" t="s">
        <v>69</v>
      </c>
    </row>
    <row r="5880" spans="1:3" x14ac:dyDescent="0.25">
      <c r="A5880" t="str">
        <f>"760800730"</f>
        <v>760800730</v>
      </c>
      <c r="B5880" t="str">
        <f>"EHPAD LES HAUTES BRUYERES"</f>
        <v>EHPAD LES HAUTES BRUYERES</v>
      </c>
      <c r="C5880" t="s">
        <v>69</v>
      </c>
    </row>
    <row r="5881" spans="1:3" x14ac:dyDescent="0.25">
      <c r="A5881" t="str">
        <f>"760801308"</f>
        <v>760801308</v>
      </c>
      <c r="B5881" t="str">
        <f>"EHPAD LES DAMES BLANCHES"</f>
        <v>EHPAD LES DAMES BLANCHES</v>
      </c>
      <c r="C5881" t="s">
        <v>69</v>
      </c>
    </row>
    <row r="5882" spans="1:3" x14ac:dyDescent="0.25">
      <c r="A5882" t="str">
        <f>"760802660"</f>
        <v>760802660</v>
      </c>
      <c r="B5882" t="str">
        <f>"EHPAD HL BOLBEC"</f>
        <v>EHPAD HL BOLBEC</v>
      </c>
      <c r="C5882" t="s">
        <v>69</v>
      </c>
    </row>
    <row r="5883" spans="1:3" x14ac:dyDescent="0.25">
      <c r="A5883" t="str">
        <f>"760802686"</f>
        <v>760802686</v>
      </c>
      <c r="B5883" t="str">
        <f>"EHPAD LA RUCHE D'ELBEUF"</f>
        <v>EHPAD LA RUCHE D'ELBEUF</v>
      </c>
      <c r="C5883" t="s">
        <v>69</v>
      </c>
    </row>
    <row r="5884" spans="1:3" x14ac:dyDescent="0.25">
      <c r="A5884" t="str">
        <f>"760802868"</f>
        <v>760802868</v>
      </c>
      <c r="B5884" t="str">
        <f>"EHPAD CH DE L'AUSTREBERTHE"</f>
        <v>EHPAD CH DE L'AUSTREBERTHE</v>
      </c>
      <c r="C5884" t="s">
        <v>69</v>
      </c>
    </row>
    <row r="5885" spans="1:3" x14ac:dyDescent="0.25">
      <c r="A5885" t="str">
        <f>"760802876"</f>
        <v>760802876</v>
      </c>
      <c r="B5885" t="str">
        <f>"EHPAD LES 4 SAISONS PETIT-QUEVILLY"</f>
        <v>EHPAD LES 4 SAISONS PETIT-QUEVILLY</v>
      </c>
      <c r="C5885" t="s">
        <v>69</v>
      </c>
    </row>
    <row r="5886" spans="1:3" x14ac:dyDescent="0.25">
      <c r="A5886" t="str">
        <f>"760802884"</f>
        <v>760802884</v>
      </c>
      <c r="B5886" t="str">
        <f>"EHPAD CHATEAU MICHEL - DIEPPE"</f>
        <v>EHPAD CHATEAU MICHEL - DIEPPE</v>
      </c>
      <c r="C5886" t="s">
        <v>69</v>
      </c>
    </row>
    <row r="5887" spans="1:3" x14ac:dyDescent="0.25">
      <c r="A5887" t="str">
        <f>"760802892"</f>
        <v>760802892</v>
      </c>
      <c r="B5887" t="str">
        <f>"EHPAD CH EU"</f>
        <v>EHPAD CH EU</v>
      </c>
      <c r="C5887" t="s">
        <v>69</v>
      </c>
    </row>
    <row r="5888" spans="1:3" x14ac:dyDescent="0.25">
      <c r="A5888" t="str">
        <f>"760802900"</f>
        <v>760802900</v>
      </c>
      <c r="B5888" t="str">
        <f>"EHPAD ROSENBERG - LILLEBONNE"</f>
        <v>EHPAD ROSENBERG - LILLEBONNE</v>
      </c>
      <c r="C5888" t="s">
        <v>69</v>
      </c>
    </row>
    <row r="5889" spans="1:3" x14ac:dyDescent="0.25">
      <c r="A5889" t="str">
        <f>"760802918"</f>
        <v>760802918</v>
      </c>
      <c r="B5889" t="str">
        <f>"EHPAD NEUFCASTEL"</f>
        <v>EHPAD NEUFCASTEL</v>
      </c>
      <c r="C5889" t="s">
        <v>69</v>
      </c>
    </row>
    <row r="5890" spans="1:3" x14ac:dyDescent="0.25">
      <c r="A5890" t="str">
        <f>"760802934"</f>
        <v>760802934</v>
      </c>
      <c r="B5890" t="str">
        <f>"EHPAD HL SAINT-VALERY-EN-CAUX"</f>
        <v>EHPAD HL SAINT-VALERY-EN-CAUX</v>
      </c>
      <c r="C5890" t="s">
        <v>69</v>
      </c>
    </row>
    <row r="5891" spans="1:3" x14ac:dyDescent="0.25">
      <c r="A5891" t="str">
        <f>"760802959"</f>
        <v>760802959</v>
      </c>
      <c r="B5891" t="str">
        <f>"EHPAD DU CH DE GOURNAY-EN-BRAY"</f>
        <v>EHPAD DU CH DE GOURNAY-EN-BRAY</v>
      </c>
      <c r="C5891" t="s">
        <v>69</v>
      </c>
    </row>
    <row r="5892" spans="1:3" x14ac:dyDescent="0.25">
      <c r="A5892" t="str">
        <f>"760802967"</f>
        <v>760802967</v>
      </c>
      <c r="B5892" t="str">
        <f>"EHPAD DU CH ASSELIN HEDELIN"</f>
        <v>EHPAD DU CH ASSELIN HEDELIN</v>
      </c>
      <c r="C5892" t="s">
        <v>69</v>
      </c>
    </row>
    <row r="5893" spans="1:3" x14ac:dyDescent="0.25">
      <c r="A5893" t="str">
        <f>"760802975"</f>
        <v>760802975</v>
      </c>
      <c r="B5893" t="str">
        <f>"EHPAD CH SAINT-ROMAIN-DE-COLBOSC"</f>
        <v>EHPAD CH SAINT-ROMAIN-DE-COLBOSC</v>
      </c>
      <c r="C5893" t="s">
        <v>69</v>
      </c>
    </row>
    <row r="5894" spans="1:3" x14ac:dyDescent="0.25">
      <c r="A5894" t="str">
        <f>"760802991"</f>
        <v>760802991</v>
      </c>
      <c r="B5894" t="str">
        <f>"LES ESCALES - EHPAD - SANVIC"</f>
        <v>LES ESCALES - EHPAD - SANVIC</v>
      </c>
      <c r="C5894" t="s">
        <v>69</v>
      </c>
    </row>
    <row r="5895" spans="1:3" x14ac:dyDescent="0.25">
      <c r="A5895" t="str">
        <f>"760803007"</f>
        <v>760803007</v>
      </c>
      <c r="B5895" t="str">
        <f>"EHPAD HOSPITALIER DE DARNETAL"</f>
        <v>EHPAD HOSPITALIER DE DARNETAL</v>
      </c>
      <c r="C5895" t="s">
        <v>69</v>
      </c>
    </row>
    <row r="5896" spans="1:3" x14ac:dyDescent="0.25">
      <c r="A5896" t="str">
        <f>"760803023"</f>
        <v>760803023</v>
      </c>
      <c r="B5896" t="str">
        <f>"EHPAD CH DU BOIS PETIT - SOTTEVILLE"</f>
        <v>EHPAD CH DU BOIS PETIT - SOTTEVILLE</v>
      </c>
      <c r="C5896" t="s">
        <v>69</v>
      </c>
    </row>
    <row r="5897" spans="1:3" x14ac:dyDescent="0.25">
      <c r="A5897" t="str">
        <f>"760803031"</f>
        <v>760803031</v>
      </c>
      <c r="B5897" t="str">
        <f>"EHPAD  LECALLIER LERICHE"</f>
        <v>EHPAD  LECALLIER LERICHE</v>
      </c>
      <c r="C5897" t="s">
        <v>69</v>
      </c>
    </row>
    <row r="5898" spans="1:3" x14ac:dyDescent="0.25">
      <c r="A5898" t="str">
        <f>"760913590"</f>
        <v>760913590</v>
      </c>
      <c r="B5898" t="str">
        <f>"EHPAD LE TELHUET DE PORT JEROME"</f>
        <v>EHPAD LE TELHUET DE PORT JEROME</v>
      </c>
      <c r="C5898" t="s">
        <v>69</v>
      </c>
    </row>
    <row r="5899" spans="1:3" x14ac:dyDescent="0.25">
      <c r="A5899" t="str">
        <f>"760913624"</f>
        <v>760913624</v>
      </c>
      <c r="B5899" t="str">
        <f>"EHPAD LA MAISON NORMANDE"</f>
        <v>EHPAD LA MAISON NORMANDE</v>
      </c>
      <c r="C5899" t="s">
        <v>69</v>
      </c>
    </row>
    <row r="5900" spans="1:3" x14ac:dyDescent="0.25">
      <c r="A5900" t="str">
        <f>"760913731"</f>
        <v>760913731</v>
      </c>
      <c r="B5900" t="str">
        <f>"EHPAD LA ROSERAIE"</f>
        <v>EHPAD LA ROSERAIE</v>
      </c>
      <c r="C5900" t="s">
        <v>69</v>
      </c>
    </row>
    <row r="5901" spans="1:3" x14ac:dyDescent="0.25">
      <c r="A5901" t="str">
        <f>"760915173"</f>
        <v>760915173</v>
      </c>
      <c r="B5901" t="str">
        <f>"EHPAD KORIAN LES CENT CLOCHERS"</f>
        <v>EHPAD KORIAN LES CENT CLOCHERS</v>
      </c>
      <c r="C5901" t="s">
        <v>69</v>
      </c>
    </row>
    <row r="5902" spans="1:3" x14ac:dyDescent="0.25">
      <c r="A5902" t="str">
        <f>"760915397"</f>
        <v>760915397</v>
      </c>
      <c r="B5902" t="str">
        <f>"EHPAD LA MARE AU CLERC"</f>
        <v>EHPAD LA MARE AU CLERC</v>
      </c>
      <c r="C5902" t="s">
        <v>69</v>
      </c>
    </row>
    <row r="5903" spans="1:3" x14ac:dyDescent="0.25">
      <c r="A5903" t="str">
        <f>"760915405"</f>
        <v>760915405</v>
      </c>
      <c r="B5903" t="str">
        <f>"EHPAD ETOILE DU MATIN D'ÉTRETAT"</f>
        <v>EHPAD ETOILE DU MATIN D'ÉTRETAT</v>
      </c>
      <c r="C5903" t="s">
        <v>69</v>
      </c>
    </row>
    <row r="5904" spans="1:3" x14ac:dyDescent="0.25">
      <c r="A5904" t="str">
        <f>"760915579"</f>
        <v>760915579</v>
      </c>
      <c r="B5904" t="str">
        <f>"EHPAD LE QUESNOT"</f>
        <v>EHPAD LE QUESNOT</v>
      </c>
      <c r="C5904" t="s">
        <v>69</v>
      </c>
    </row>
    <row r="5905" spans="1:3" x14ac:dyDescent="0.25">
      <c r="A5905" t="str">
        <f>"760915702"</f>
        <v>760915702</v>
      </c>
      <c r="B5905" t="str">
        <f>"EHPAD LA PLEIADE"</f>
        <v>EHPAD LA PLEIADE</v>
      </c>
      <c r="C5905" t="s">
        <v>69</v>
      </c>
    </row>
    <row r="5906" spans="1:3" x14ac:dyDescent="0.25">
      <c r="A5906" t="str">
        <f>"760916312"</f>
        <v>760916312</v>
      </c>
      <c r="B5906" t="str">
        <f>"EHPAD KORIAN VILLA SAINT DO"</f>
        <v>EHPAD KORIAN VILLA SAINT DO</v>
      </c>
      <c r="C5906" t="s">
        <v>69</v>
      </c>
    </row>
    <row r="5907" spans="1:3" x14ac:dyDescent="0.25">
      <c r="A5907" t="str">
        <f>"760917005"</f>
        <v>760917005</v>
      </c>
      <c r="B5907" t="str">
        <f>"EHPAD RESIDENCE LES TROIS HAMEAUX"</f>
        <v>EHPAD RESIDENCE LES TROIS HAMEAUX</v>
      </c>
      <c r="C5907" t="s">
        <v>69</v>
      </c>
    </row>
    <row r="5908" spans="1:3" x14ac:dyDescent="0.25">
      <c r="A5908" t="str">
        <f>"760918052"</f>
        <v>760918052</v>
      </c>
      <c r="B5908" t="str">
        <f>"EHPAD SAINT ANTOINE"</f>
        <v>EHPAD SAINT ANTOINE</v>
      </c>
      <c r="C5908" t="s">
        <v>69</v>
      </c>
    </row>
    <row r="5909" spans="1:3" x14ac:dyDescent="0.25">
      <c r="A5909" t="str">
        <f>"760918250"</f>
        <v>760918250</v>
      </c>
      <c r="B5909" t="str">
        <f>"EHPAD LES BRUYERES"</f>
        <v>EHPAD LES BRUYERES</v>
      </c>
      <c r="C5909" t="s">
        <v>69</v>
      </c>
    </row>
    <row r="5910" spans="1:3" x14ac:dyDescent="0.25">
      <c r="A5910" t="str">
        <f>"760918722"</f>
        <v>760918722</v>
      </c>
      <c r="B5910" t="str">
        <f>"EHPAD LE BOIS JOLI"</f>
        <v>EHPAD LE BOIS JOLI</v>
      </c>
      <c r="C5910" t="s">
        <v>69</v>
      </c>
    </row>
    <row r="5911" spans="1:3" x14ac:dyDescent="0.25">
      <c r="A5911" t="str">
        <f>"760919035"</f>
        <v>760919035</v>
      </c>
      <c r="B5911" t="str">
        <f>"EHPAD LES ILIADES"</f>
        <v>EHPAD LES ILIADES</v>
      </c>
      <c r="C5911" t="s">
        <v>69</v>
      </c>
    </row>
    <row r="5912" spans="1:3" x14ac:dyDescent="0.25">
      <c r="A5912" t="str">
        <f>"760919282"</f>
        <v>760919282</v>
      </c>
      <c r="B5912" t="str">
        <f>"EHPAD LA SOURCE"</f>
        <v>EHPAD LA SOURCE</v>
      </c>
      <c r="C5912" t="s">
        <v>69</v>
      </c>
    </row>
    <row r="5913" spans="1:3" x14ac:dyDescent="0.25">
      <c r="A5913" t="str">
        <f>"760919498"</f>
        <v>760919498</v>
      </c>
      <c r="B5913" t="str">
        <f>"EHPAD SACRE COEUR D'ERNEMONT"</f>
        <v>EHPAD SACRE COEUR D'ERNEMONT</v>
      </c>
      <c r="C5913" t="s">
        <v>69</v>
      </c>
    </row>
    <row r="5914" spans="1:3" x14ac:dyDescent="0.25">
      <c r="A5914" t="str">
        <f>"760919647"</f>
        <v>760919647</v>
      </c>
      <c r="B5914" t="str">
        <f>"EHPAD LE MOULIN DES PRES"</f>
        <v>EHPAD LE MOULIN DES PRES</v>
      </c>
      <c r="C5914" t="s">
        <v>69</v>
      </c>
    </row>
    <row r="5915" spans="1:3" x14ac:dyDescent="0.25">
      <c r="A5915" t="str">
        <f>"760919829"</f>
        <v>760919829</v>
      </c>
      <c r="B5915" t="str">
        <f>"EHPAD TIERS TEMPS"</f>
        <v>EHPAD TIERS TEMPS</v>
      </c>
      <c r="C5915" t="s">
        <v>69</v>
      </c>
    </row>
    <row r="5916" spans="1:3" x14ac:dyDescent="0.25">
      <c r="A5916" t="str">
        <f>"760919886"</f>
        <v>760919886</v>
      </c>
      <c r="B5916" t="str">
        <f>"EHPAD LE CERCLE DES AINES GOURNAY EN B"</f>
        <v>EHPAD LE CERCLE DES AINES GOURNAY EN B</v>
      </c>
      <c r="C5916" t="s">
        <v>69</v>
      </c>
    </row>
    <row r="5917" spans="1:3" x14ac:dyDescent="0.25">
      <c r="A5917" t="str">
        <f>"760920066"</f>
        <v>760920066</v>
      </c>
      <c r="B5917" t="str">
        <f>"EHPAD LE VAL FLEURI"</f>
        <v>EHPAD LE VAL FLEURI</v>
      </c>
      <c r="C5917" t="s">
        <v>69</v>
      </c>
    </row>
    <row r="5918" spans="1:3" x14ac:dyDescent="0.25">
      <c r="A5918" t="str">
        <f>"760920298"</f>
        <v>760920298</v>
      </c>
      <c r="B5918" t="str">
        <f>"EHPAD MISHKANE"</f>
        <v>EHPAD MISHKANE</v>
      </c>
      <c r="C5918" t="s">
        <v>69</v>
      </c>
    </row>
    <row r="5919" spans="1:3" x14ac:dyDescent="0.25">
      <c r="A5919" t="str">
        <f>"760920413"</f>
        <v>760920413</v>
      </c>
      <c r="B5919" t="str">
        <f>"EHPAD CHG LA FILANDIERE"</f>
        <v>EHPAD CHG LA FILANDIERE</v>
      </c>
      <c r="C5919" t="s">
        <v>69</v>
      </c>
    </row>
    <row r="5920" spans="1:3" x14ac:dyDescent="0.25">
      <c r="A5920" t="str">
        <f>"760920629"</f>
        <v>760920629</v>
      </c>
      <c r="B5920" t="str">
        <f>"EHPAD LE MOULIN AU ROY - FECAMP"</f>
        <v>EHPAD LE MOULIN AU ROY - FECAMP</v>
      </c>
      <c r="C5920" t="s">
        <v>69</v>
      </c>
    </row>
    <row r="5921" spans="1:3" x14ac:dyDescent="0.25">
      <c r="A5921" t="str">
        <f>"760920637"</f>
        <v>760920637</v>
      </c>
      <c r="B5921" t="str">
        <f>"EHPAD SHAMROCK - FECAMP"</f>
        <v>EHPAD SHAMROCK - FECAMP</v>
      </c>
      <c r="C5921" t="s">
        <v>69</v>
      </c>
    </row>
    <row r="5922" spans="1:3" x14ac:dyDescent="0.25">
      <c r="A5922" t="str">
        <f>"760921304"</f>
        <v>760921304</v>
      </c>
      <c r="B5922" t="str">
        <f>"EHPAD LES MATINS BLEUS"</f>
        <v>EHPAD LES MATINS BLEUS</v>
      </c>
      <c r="C5922" t="s">
        <v>69</v>
      </c>
    </row>
    <row r="5923" spans="1:3" x14ac:dyDescent="0.25">
      <c r="A5923" t="str">
        <f>"760921726"</f>
        <v>760921726</v>
      </c>
      <c r="B5923" t="str">
        <f>"LES ESCALES - EHPAD GUILLAUME LE CONQ"</f>
        <v>LES ESCALES - EHPAD GUILLAUME LE CONQ</v>
      </c>
      <c r="C5923" t="s">
        <v>69</v>
      </c>
    </row>
    <row r="5924" spans="1:3" x14ac:dyDescent="0.25">
      <c r="A5924" t="str">
        <f>"760922062"</f>
        <v>760922062</v>
      </c>
      <c r="B5924" t="str">
        <f>"EHPAD LE BOIS ROND"</f>
        <v>EHPAD LE BOIS ROND</v>
      </c>
      <c r="C5924" t="s">
        <v>69</v>
      </c>
    </row>
    <row r="5925" spans="1:3" x14ac:dyDescent="0.25">
      <c r="A5925" t="str">
        <f>"760922070"</f>
        <v>760922070</v>
      </c>
      <c r="B5925" t="str">
        <f>"EHPAD LA SOURCE"</f>
        <v>EHPAD LA SOURCE</v>
      </c>
      <c r="C5925" t="s">
        <v>69</v>
      </c>
    </row>
    <row r="5926" spans="1:3" x14ac:dyDescent="0.25">
      <c r="A5926" t="str">
        <f>"760922625"</f>
        <v>760922625</v>
      </c>
      <c r="B5926" t="str">
        <f>"EHPAD  BOIS MARTEL - FECAMP"</f>
        <v>EHPAD  BOIS MARTEL - FECAMP</v>
      </c>
      <c r="C5926" t="s">
        <v>69</v>
      </c>
    </row>
    <row r="5927" spans="1:3" x14ac:dyDescent="0.25">
      <c r="A5927" t="str">
        <f>"770000081"</f>
        <v>770000081</v>
      </c>
      <c r="B5927" t="str">
        <f>"EHPAD RESIDENCE VILLA LOUISE"</f>
        <v>EHPAD RESIDENCE VILLA LOUISE</v>
      </c>
      <c r="C5927" t="s">
        <v>71</v>
      </c>
    </row>
    <row r="5928" spans="1:3" x14ac:dyDescent="0.25">
      <c r="A5928" t="str">
        <f>"770001287"</f>
        <v>770001287</v>
      </c>
      <c r="B5928" t="str">
        <f>"EHPAD RESIDENCE DU MOULIN"</f>
        <v>EHPAD RESIDENCE DU MOULIN</v>
      </c>
      <c r="C5928" t="s">
        <v>71</v>
      </c>
    </row>
    <row r="5929" spans="1:3" x14ac:dyDescent="0.25">
      <c r="A5929" t="str">
        <f>"770001311"</f>
        <v>770001311</v>
      </c>
      <c r="B5929" t="str">
        <f>"EHPAD LA RESIDENCE CHATEAU NODET"</f>
        <v>EHPAD LA RESIDENCE CHATEAU NODET</v>
      </c>
      <c r="C5929" t="s">
        <v>71</v>
      </c>
    </row>
    <row r="5930" spans="1:3" x14ac:dyDescent="0.25">
      <c r="A5930" t="str">
        <f>"770001345"</f>
        <v>770001345</v>
      </c>
      <c r="B5930" t="str">
        <f>"EHPAD MAISON FAMILIALE BACCARA"</f>
        <v>EHPAD MAISON FAMILIALE BACCARA</v>
      </c>
      <c r="C5930" t="s">
        <v>71</v>
      </c>
    </row>
    <row r="5931" spans="1:3" x14ac:dyDescent="0.25">
      <c r="A5931" t="str">
        <f>"770001469"</f>
        <v>770001469</v>
      </c>
      <c r="B5931" t="str">
        <f>"EHPAD LES AIRELLES"</f>
        <v>EHPAD LES AIRELLES</v>
      </c>
      <c r="C5931" t="s">
        <v>71</v>
      </c>
    </row>
    <row r="5932" spans="1:3" x14ac:dyDescent="0.25">
      <c r="A5932" t="str">
        <f>"770002228"</f>
        <v>770002228</v>
      </c>
      <c r="B5932" t="str">
        <f>"EHPAD SOLEMNES CHATEAU DE LA GRANGE"</f>
        <v>EHPAD SOLEMNES CHATEAU DE LA GRANGE</v>
      </c>
      <c r="C5932" t="s">
        <v>71</v>
      </c>
    </row>
    <row r="5933" spans="1:3" x14ac:dyDescent="0.25">
      <c r="A5933" t="str">
        <f>"770002939"</f>
        <v>770002939</v>
      </c>
      <c r="B5933" t="str">
        <f>"EHPAD SOURCE NADON"</f>
        <v>EHPAD SOURCE NADON</v>
      </c>
      <c r="C5933" t="s">
        <v>71</v>
      </c>
    </row>
    <row r="5934" spans="1:3" x14ac:dyDescent="0.25">
      <c r="A5934" t="str">
        <f>"770003069"</f>
        <v>770003069</v>
      </c>
      <c r="B5934" t="str">
        <f>"EHPAD KORIAN LA MAGDELEINE"</f>
        <v>EHPAD KORIAN LA MAGDELEINE</v>
      </c>
      <c r="C5934" t="s">
        <v>71</v>
      </c>
    </row>
    <row r="5935" spans="1:3" x14ac:dyDescent="0.25">
      <c r="A5935" t="str">
        <f>"770003341"</f>
        <v>770003341</v>
      </c>
      <c r="B5935" t="str">
        <f>"EHPAD RESIDENCE DES SEPT MOULINS"</f>
        <v>EHPAD RESIDENCE DES SEPT MOULINS</v>
      </c>
      <c r="C5935" t="s">
        <v>71</v>
      </c>
    </row>
    <row r="5936" spans="1:3" x14ac:dyDescent="0.25">
      <c r="A5936" t="str">
        <f>"770003382"</f>
        <v>770003382</v>
      </c>
      <c r="B5936" t="str">
        <f>"EHPAD LE PARC FLEURI"</f>
        <v>EHPAD LE PARC FLEURI</v>
      </c>
      <c r="C5936" t="s">
        <v>71</v>
      </c>
    </row>
    <row r="5937" spans="1:3" x14ac:dyDescent="0.25">
      <c r="A5937" t="str">
        <f>"770003390"</f>
        <v>770003390</v>
      </c>
      <c r="B5937" t="str">
        <f>"EHPAD LES GLYCINES"</f>
        <v>EHPAD LES GLYCINES</v>
      </c>
      <c r="C5937" t="s">
        <v>71</v>
      </c>
    </row>
    <row r="5938" spans="1:3" x14ac:dyDescent="0.25">
      <c r="A5938" t="str">
        <f>"770003408"</f>
        <v>770003408</v>
      </c>
      <c r="B5938" t="str">
        <f>"EHPAD LES ACACIAS"</f>
        <v>EHPAD LES ACACIAS</v>
      </c>
      <c r="C5938" t="s">
        <v>71</v>
      </c>
    </row>
    <row r="5939" spans="1:3" x14ac:dyDescent="0.25">
      <c r="A5939" t="str">
        <f>"770003424"</f>
        <v>770003424</v>
      </c>
      <c r="B5939" t="str">
        <f>"EHPAD LA RESIDENCE DE DIANE"</f>
        <v>EHPAD LA RESIDENCE DE DIANE</v>
      </c>
      <c r="C5939" t="s">
        <v>71</v>
      </c>
    </row>
    <row r="5940" spans="1:3" x14ac:dyDescent="0.25">
      <c r="A5940" t="str">
        <f>"770003473"</f>
        <v>770003473</v>
      </c>
      <c r="B5940" t="str">
        <f>"EHPAD LE TILLEUL ARGENTE"</f>
        <v>EHPAD LE TILLEUL ARGENTE</v>
      </c>
      <c r="C5940" t="s">
        <v>71</v>
      </c>
    </row>
    <row r="5941" spans="1:3" x14ac:dyDescent="0.25">
      <c r="A5941" t="str">
        <f>"770004109"</f>
        <v>770004109</v>
      </c>
      <c r="B5941" t="str">
        <f>"EHPAD RESIDENCE LUCIE ET EDGAR FAURE"</f>
        <v>EHPAD RESIDENCE LUCIE ET EDGAR FAURE</v>
      </c>
      <c r="C5941" t="s">
        <v>71</v>
      </c>
    </row>
    <row r="5942" spans="1:3" x14ac:dyDescent="0.25">
      <c r="A5942" t="str">
        <f>"770015071"</f>
        <v>770015071</v>
      </c>
      <c r="B5942" t="str">
        <f>"EHPAD KORIAN AU FIL DU TEMPS"</f>
        <v>EHPAD KORIAN AU FIL DU TEMPS</v>
      </c>
      <c r="C5942" t="s">
        <v>71</v>
      </c>
    </row>
    <row r="5943" spans="1:3" x14ac:dyDescent="0.25">
      <c r="A5943" t="str">
        <f>"770015188"</f>
        <v>770015188</v>
      </c>
      <c r="B5943" t="str">
        <f>"EHPAD RESIDENCE ONDINE"</f>
        <v>EHPAD RESIDENCE ONDINE</v>
      </c>
      <c r="C5943" t="s">
        <v>71</v>
      </c>
    </row>
    <row r="5944" spans="1:3" x14ac:dyDescent="0.25">
      <c r="A5944" t="str">
        <f>"770015196"</f>
        <v>770015196</v>
      </c>
      <c r="B5944" t="str">
        <f>"EHPAD LA FERME DU MARAIS"</f>
        <v>EHPAD LA FERME DU MARAIS</v>
      </c>
      <c r="C5944" t="s">
        <v>71</v>
      </c>
    </row>
    <row r="5945" spans="1:3" x14ac:dyDescent="0.25">
      <c r="A5945" t="str">
        <f>"770015360"</f>
        <v>770015360</v>
      </c>
      <c r="B5945" t="str">
        <f>"EHPAD RESIDENCE LA GARENNE"</f>
        <v>EHPAD RESIDENCE LA GARENNE</v>
      </c>
      <c r="C5945" t="s">
        <v>71</v>
      </c>
    </row>
    <row r="5946" spans="1:3" x14ac:dyDescent="0.25">
      <c r="A5946" t="str">
        <f>"770015741"</f>
        <v>770015741</v>
      </c>
      <c r="B5946" t="str">
        <f>"EHPAD RESIDENCE L'AUBETINE"</f>
        <v>EHPAD RESIDENCE L'AUBETINE</v>
      </c>
      <c r="C5946" t="s">
        <v>71</v>
      </c>
    </row>
    <row r="5947" spans="1:3" x14ac:dyDescent="0.25">
      <c r="A5947" t="str">
        <f>"770015774"</f>
        <v>770015774</v>
      </c>
      <c r="B5947" t="str">
        <f>"EHPAD KORIAN PARC AUX CHENES"</f>
        <v>EHPAD KORIAN PARC AUX CHENES</v>
      </c>
      <c r="C5947" t="s">
        <v>71</v>
      </c>
    </row>
    <row r="5948" spans="1:3" x14ac:dyDescent="0.25">
      <c r="A5948" t="str">
        <f>"770015782"</f>
        <v>770015782</v>
      </c>
      <c r="B5948" t="str">
        <f>"EHPAD LE BOIS CLEMENT"</f>
        <v>EHPAD LE BOIS CLEMENT</v>
      </c>
      <c r="C5948" t="s">
        <v>71</v>
      </c>
    </row>
    <row r="5949" spans="1:3" x14ac:dyDescent="0.25">
      <c r="A5949" t="str">
        <f>"770016459"</f>
        <v>770016459</v>
      </c>
      <c r="B5949" t="str">
        <f>"EHPAD LES JARDINS MEDICIS"</f>
        <v>EHPAD LES JARDINS MEDICIS</v>
      </c>
      <c r="C5949" t="s">
        <v>71</v>
      </c>
    </row>
    <row r="5950" spans="1:3" x14ac:dyDescent="0.25">
      <c r="A5950" t="str">
        <f>"770016632"</f>
        <v>770016632</v>
      </c>
      <c r="B5950" t="str">
        <f>"EHPAD LE GRAND PAVOIS"</f>
        <v>EHPAD LE GRAND PAVOIS</v>
      </c>
      <c r="C5950" t="s">
        <v>71</v>
      </c>
    </row>
    <row r="5951" spans="1:3" x14ac:dyDescent="0.25">
      <c r="A5951" t="str">
        <f>"770016848"</f>
        <v>770016848</v>
      </c>
      <c r="B5951" t="str">
        <f>"EHPAD LA RESIDENCE LES CHAMPS"</f>
        <v>EHPAD LA RESIDENCE LES CHAMPS</v>
      </c>
      <c r="C5951" t="s">
        <v>71</v>
      </c>
    </row>
    <row r="5952" spans="1:3" x14ac:dyDescent="0.25">
      <c r="A5952" t="str">
        <f>"770016939"</f>
        <v>770016939</v>
      </c>
      <c r="B5952" t="str">
        <f>"EHPAD EDME PORTA"</f>
        <v>EHPAD EDME PORTA</v>
      </c>
      <c r="C5952" t="s">
        <v>71</v>
      </c>
    </row>
    <row r="5953" spans="1:3" x14ac:dyDescent="0.25">
      <c r="A5953" t="str">
        <f>"770017119"</f>
        <v>770017119</v>
      </c>
      <c r="B5953" t="str">
        <f>"EHPAD RESIDENCE FRANCOIS VILLON"</f>
        <v>EHPAD RESIDENCE FRANCOIS VILLON</v>
      </c>
      <c r="C5953" t="s">
        <v>71</v>
      </c>
    </row>
    <row r="5954" spans="1:3" x14ac:dyDescent="0.25">
      <c r="A5954" t="str">
        <f>"770017291"</f>
        <v>770017291</v>
      </c>
      <c r="B5954" t="str">
        <f>"EHPAD RESIDENCE LES BERGES DU DANUBE"</f>
        <v>EHPAD RESIDENCE LES BERGES DU DANUBE</v>
      </c>
      <c r="C5954" t="s">
        <v>71</v>
      </c>
    </row>
    <row r="5955" spans="1:3" x14ac:dyDescent="0.25">
      <c r="A5955" t="str">
        <f>"770017523"</f>
        <v>770017523</v>
      </c>
      <c r="B5955" t="str">
        <f>"EHPAD LES JARDINS DE MEDICIS"</f>
        <v>EHPAD LES JARDINS DE MEDICIS</v>
      </c>
      <c r="C5955" t="s">
        <v>71</v>
      </c>
    </row>
    <row r="5956" spans="1:3" x14ac:dyDescent="0.25">
      <c r="A5956" t="str">
        <f>"770017804"</f>
        <v>770017804</v>
      </c>
      <c r="B5956" t="str">
        <f>"EHPAD RESIDENCE LES TOURTERELLES"</f>
        <v>EHPAD RESIDENCE LES TOURTERELLES</v>
      </c>
      <c r="C5956" t="s">
        <v>71</v>
      </c>
    </row>
    <row r="5957" spans="1:3" x14ac:dyDescent="0.25">
      <c r="A5957" t="str">
        <f>"770019115"</f>
        <v>770019115</v>
      </c>
      <c r="B5957" t="str">
        <f>"EHPAD LES PATIOS DE L YERRES"</f>
        <v>EHPAD LES PATIOS DE L YERRES</v>
      </c>
      <c r="C5957" t="s">
        <v>71</v>
      </c>
    </row>
    <row r="5958" spans="1:3" x14ac:dyDescent="0.25">
      <c r="A5958" t="str">
        <f>"770019396"</f>
        <v>770019396</v>
      </c>
      <c r="B5958" t="str">
        <f>"EHPAD LA MEULIERE DE LA MARNE"</f>
        <v>EHPAD LA MEULIERE DE LA MARNE</v>
      </c>
      <c r="C5958" t="s">
        <v>71</v>
      </c>
    </row>
    <row r="5959" spans="1:3" x14ac:dyDescent="0.25">
      <c r="A5959" t="str">
        <f>"770020642"</f>
        <v>770020642</v>
      </c>
      <c r="B5959" t="str">
        <f>"EHPAD DU PAYS DE NEMOURS"</f>
        <v>EHPAD DU PAYS DE NEMOURS</v>
      </c>
      <c r="C5959" t="s">
        <v>71</v>
      </c>
    </row>
    <row r="5960" spans="1:3" x14ac:dyDescent="0.25">
      <c r="A5960" t="str">
        <f>"770130060"</f>
        <v>770130060</v>
      </c>
      <c r="B5960" t="str">
        <f>"EHPAD PIERRE COMBY"</f>
        <v>EHPAD PIERRE COMBY</v>
      </c>
      <c r="C5960" t="s">
        <v>71</v>
      </c>
    </row>
    <row r="5961" spans="1:3" x14ac:dyDescent="0.25">
      <c r="A5961" t="str">
        <f>"770300101"</f>
        <v>770300101</v>
      </c>
      <c r="B5961" t="str">
        <f>"EHPAD D ORGEMONT"</f>
        <v>EHPAD D ORGEMONT</v>
      </c>
      <c r="C5961" t="s">
        <v>71</v>
      </c>
    </row>
    <row r="5962" spans="1:3" x14ac:dyDescent="0.25">
      <c r="A5962" t="str">
        <f>"770420040"</f>
        <v>770420040</v>
      </c>
      <c r="B5962" t="str">
        <f>"EHPAD DES ARTISTES"</f>
        <v>EHPAD DES ARTISTES</v>
      </c>
      <c r="C5962" t="s">
        <v>71</v>
      </c>
    </row>
    <row r="5963" spans="1:3" x14ac:dyDescent="0.25">
      <c r="A5963" t="str">
        <f>"770700144"</f>
        <v>770700144</v>
      </c>
      <c r="B5963" t="str">
        <f>"EHPAD LA RESIDENCE DU PARC"</f>
        <v>EHPAD LA RESIDENCE DU PARC</v>
      </c>
      <c r="C5963" t="s">
        <v>71</v>
      </c>
    </row>
    <row r="5964" spans="1:3" x14ac:dyDescent="0.25">
      <c r="A5964" t="str">
        <f>"770700938"</f>
        <v>770700938</v>
      </c>
      <c r="B5964" t="str">
        <f>"EHPAD DE SAINT SEVERIN"</f>
        <v>EHPAD DE SAINT SEVERIN</v>
      </c>
      <c r="C5964" t="s">
        <v>71</v>
      </c>
    </row>
    <row r="5965" spans="1:3" x14ac:dyDescent="0.25">
      <c r="A5965" t="str">
        <f>"770700961"</f>
        <v>770700961</v>
      </c>
      <c r="B5965" t="str">
        <f>"EHPAD LA CHOCOLATIERE"</f>
        <v>EHPAD LA CHOCOLATIERE</v>
      </c>
      <c r="C5965" t="s">
        <v>71</v>
      </c>
    </row>
    <row r="5966" spans="1:3" x14ac:dyDescent="0.25">
      <c r="A5966" t="str">
        <f>"770700979"</f>
        <v>770700979</v>
      </c>
      <c r="B5966" t="str">
        <f>"EHPAD MATHURIN FOUQUET"</f>
        <v>EHPAD MATHURIN FOUQUET</v>
      </c>
      <c r="C5966" t="s">
        <v>71</v>
      </c>
    </row>
    <row r="5967" spans="1:3" x14ac:dyDescent="0.25">
      <c r="A5967" t="str">
        <f>"770700987"</f>
        <v>770700987</v>
      </c>
      <c r="B5967" t="str">
        <f>"EHPAD SAINT AILE"</f>
        <v>EHPAD SAINT AILE</v>
      </c>
      <c r="C5967" t="s">
        <v>71</v>
      </c>
    </row>
    <row r="5968" spans="1:3" x14ac:dyDescent="0.25">
      <c r="A5968" t="str">
        <f>"770701001"</f>
        <v>770701001</v>
      </c>
      <c r="B5968" t="str">
        <f>"EHPAD LES JARDINS DE CHAGOT"</f>
        <v>EHPAD LES JARDINS DE CHAGOT</v>
      </c>
      <c r="C5968" t="s">
        <v>71</v>
      </c>
    </row>
    <row r="5969" spans="1:3" x14ac:dyDescent="0.25">
      <c r="A5969" t="str">
        <f>"770701019"</f>
        <v>770701019</v>
      </c>
      <c r="B5969" t="str">
        <f>"EHPAD LE FIL D ARGENT"</f>
        <v>EHPAD LE FIL D ARGENT</v>
      </c>
      <c r="C5969" t="s">
        <v>71</v>
      </c>
    </row>
    <row r="5970" spans="1:3" x14ac:dyDescent="0.25">
      <c r="A5970" t="str">
        <f>"770701050"</f>
        <v>770701050</v>
      </c>
      <c r="B5970" t="str">
        <f>"EHPAD DE CRECY"</f>
        <v>EHPAD DE CRECY</v>
      </c>
      <c r="C5970" t="s">
        <v>71</v>
      </c>
    </row>
    <row r="5971" spans="1:3" x14ac:dyDescent="0.25">
      <c r="A5971" t="str">
        <f>"770701068"</f>
        <v>770701068</v>
      </c>
      <c r="B5971" t="str">
        <f>"EHPAD LES TAMARIS"</f>
        <v>EHPAD LES TAMARIS</v>
      </c>
      <c r="C5971" t="s">
        <v>71</v>
      </c>
    </row>
    <row r="5972" spans="1:3" x14ac:dyDescent="0.25">
      <c r="A5972" t="str">
        <f>"770701076"</f>
        <v>770701076</v>
      </c>
      <c r="B5972" t="str">
        <f>"EHPAD AU COIN DU FEU"</f>
        <v>EHPAD AU COIN DU FEU</v>
      </c>
      <c r="C5972" t="s">
        <v>71</v>
      </c>
    </row>
    <row r="5973" spans="1:3" x14ac:dyDescent="0.25">
      <c r="A5973" t="str">
        <f>"770701084"</f>
        <v>770701084</v>
      </c>
      <c r="B5973" t="str">
        <f>"EHPAD LE CLOS FLEURI"</f>
        <v>EHPAD LE CLOS FLEURI</v>
      </c>
      <c r="C5973" t="s">
        <v>71</v>
      </c>
    </row>
    <row r="5974" spans="1:3" x14ac:dyDescent="0.25">
      <c r="A5974" t="str">
        <f>"770701092"</f>
        <v>770701092</v>
      </c>
      <c r="B5974" t="str">
        <f>"EHPAD CHATEAU DE CHALLEAU"</f>
        <v>EHPAD CHATEAU DE CHALLEAU</v>
      </c>
      <c r="C5974" t="s">
        <v>71</v>
      </c>
    </row>
    <row r="5975" spans="1:3" x14ac:dyDescent="0.25">
      <c r="A5975" t="str">
        <f>"770701100"</f>
        <v>770701100</v>
      </c>
      <c r="B5975" t="str">
        <f>"EHPAD LES PATIOS"</f>
        <v>EHPAD LES PATIOS</v>
      </c>
      <c r="C5975" t="s">
        <v>71</v>
      </c>
    </row>
    <row r="5976" spans="1:3" x14ac:dyDescent="0.25">
      <c r="A5976" t="str">
        <f>"770701118"</f>
        <v>770701118</v>
      </c>
      <c r="B5976" t="str">
        <f>"EHPAD LES JARDINS DE LA VOULZIE"</f>
        <v>EHPAD LES JARDINS DE LA VOULZIE</v>
      </c>
      <c r="C5976" t="s">
        <v>71</v>
      </c>
    </row>
    <row r="5977" spans="1:3" x14ac:dyDescent="0.25">
      <c r="A5977" t="str">
        <f>"770707586"</f>
        <v>770707586</v>
      </c>
      <c r="B5977" t="str">
        <f>"EHPAD DU CANTON DE NEMOURS"</f>
        <v>EHPAD DU CANTON DE NEMOURS</v>
      </c>
      <c r="C5977" t="s">
        <v>71</v>
      </c>
    </row>
    <row r="5978" spans="1:3" x14ac:dyDescent="0.25">
      <c r="A5978" t="str">
        <f>"770790095"</f>
        <v>770790095</v>
      </c>
      <c r="B5978" t="str">
        <f>"EHPAD CHATEAU DU POITOU"</f>
        <v>EHPAD CHATEAU DU POITOU</v>
      </c>
      <c r="C5978" t="s">
        <v>71</v>
      </c>
    </row>
    <row r="5979" spans="1:3" x14ac:dyDescent="0.25">
      <c r="A5979" t="str">
        <f>"770790632"</f>
        <v>770790632</v>
      </c>
      <c r="B5979" t="str">
        <f>"EHPAD ROSA GALLICA DU CH DE PROVINS"</f>
        <v>EHPAD ROSA GALLICA DU CH DE PROVINS</v>
      </c>
      <c r="C5979" t="s">
        <v>71</v>
      </c>
    </row>
    <row r="5980" spans="1:3" x14ac:dyDescent="0.25">
      <c r="A5980" t="str">
        <f>"770790640"</f>
        <v>770790640</v>
      </c>
      <c r="B5980" t="str">
        <f>"EHPAD CH DE BRIE COMTE ROBERT"</f>
        <v>EHPAD CH DE BRIE COMTE ROBERT</v>
      </c>
      <c r="C5980" t="s">
        <v>71</v>
      </c>
    </row>
    <row r="5981" spans="1:3" x14ac:dyDescent="0.25">
      <c r="A5981" t="str">
        <f>"770790749"</f>
        <v>770790749</v>
      </c>
      <c r="B5981" t="str">
        <f>"EHPAD LE MARAIS"</f>
        <v>EHPAD LE MARAIS</v>
      </c>
      <c r="C5981" t="s">
        <v>71</v>
      </c>
    </row>
    <row r="5982" spans="1:3" x14ac:dyDescent="0.25">
      <c r="A5982" t="str">
        <f>"770802031"</f>
        <v>770802031</v>
      </c>
      <c r="B5982" t="str">
        <f>"EHPAD RESIDENCE DOMAINE JALLEMAIN"</f>
        <v>EHPAD RESIDENCE DOMAINE JALLEMAIN</v>
      </c>
      <c r="C5982" t="s">
        <v>71</v>
      </c>
    </row>
    <row r="5983" spans="1:3" x14ac:dyDescent="0.25">
      <c r="A5983" t="str">
        <f>"770802072"</f>
        <v>770802072</v>
      </c>
      <c r="B5983" t="str">
        <f>"EHPAD ACEP"</f>
        <v>EHPAD ACEP</v>
      </c>
      <c r="C5983" t="s">
        <v>71</v>
      </c>
    </row>
    <row r="5984" spans="1:3" x14ac:dyDescent="0.25">
      <c r="A5984" t="str">
        <f>"770802619"</f>
        <v>770802619</v>
      </c>
      <c r="B5984" t="str">
        <f>"EHPAD DES BRULLYS"</f>
        <v>EHPAD DES BRULLYS</v>
      </c>
      <c r="C5984" t="s">
        <v>71</v>
      </c>
    </row>
    <row r="5985" spans="1:3" x14ac:dyDescent="0.25">
      <c r="A5985" t="str">
        <f>"770802635"</f>
        <v>770802635</v>
      </c>
      <c r="B5985" t="str">
        <f>"EHPAD LE MANOIR DE CHELLES"</f>
        <v>EHPAD LE MANOIR DE CHELLES</v>
      </c>
      <c r="C5985" t="s">
        <v>71</v>
      </c>
    </row>
    <row r="5986" spans="1:3" x14ac:dyDescent="0.25">
      <c r="A5986" t="str">
        <f>"770802643"</f>
        <v>770802643</v>
      </c>
      <c r="B5986" t="str">
        <f>"EHPAD ABBAYE NOTRE DAME"</f>
        <v>EHPAD ABBAYE NOTRE DAME</v>
      </c>
      <c r="C5986" t="s">
        <v>71</v>
      </c>
    </row>
    <row r="5987" spans="1:3" x14ac:dyDescent="0.25">
      <c r="A5987" t="str">
        <f>"770802650"</f>
        <v>770802650</v>
      </c>
      <c r="B5987" t="str">
        <f>"EHPAD LE CHATEAU DE LOUCHE"</f>
        <v>EHPAD LE CHATEAU DE LOUCHE</v>
      </c>
      <c r="C5987" t="s">
        <v>71</v>
      </c>
    </row>
    <row r="5988" spans="1:3" x14ac:dyDescent="0.25">
      <c r="A5988" t="str">
        <f>"770802668"</f>
        <v>770802668</v>
      </c>
      <c r="B5988" t="str">
        <f>"EHPAD RESIDENCE MALKA"</f>
        <v>EHPAD RESIDENCE MALKA</v>
      </c>
      <c r="C5988" t="s">
        <v>71</v>
      </c>
    </row>
    <row r="5989" spans="1:3" x14ac:dyDescent="0.25">
      <c r="A5989" t="str">
        <f>"770802684"</f>
        <v>770802684</v>
      </c>
      <c r="B5989" t="str">
        <f>"EHPAD ABBAYE NOTRE DAME"</f>
        <v>EHPAD ABBAYE NOTRE DAME</v>
      </c>
      <c r="C5989" t="s">
        <v>71</v>
      </c>
    </row>
    <row r="5990" spans="1:3" x14ac:dyDescent="0.25">
      <c r="A5990" t="str">
        <f>"770802692"</f>
        <v>770802692</v>
      </c>
      <c r="B5990" t="str">
        <f>"EHPAD SAINT JOSEPH"</f>
        <v>EHPAD SAINT JOSEPH</v>
      </c>
      <c r="C5990" t="s">
        <v>71</v>
      </c>
    </row>
    <row r="5991" spans="1:3" x14ac:dyDescent="0.25">
      <c r="A5991" t="str">
        <f>"770802718"</f>
        <v>770802718</v>
      </c>
      <c r="B5991" t="str">
        <f>"EHPAD LA GARENNE"</f>
        <v>EHPAD LA GARENNE</v>
      </c>
      <c r="C5991" t="s">
        <v>71</v>
      </c>
    </row>
    <row r="5992" spans="1:3" x14ac:dyDescent="0.25">
      <c r="A5992" t="str">
        <f>"770802726"</f>
        <v>770802726</v>
      </c>
      <c r="B5992" t="str">
        <f>"EHPAD LA GUETTE"</f>
        <v>EHPAD LA GUETTE</v>
      </c>
      <c r="C5992" t="s">
        <v>71</v>
      </c>
    </row>
    <row r="5993" spans="1:3" x14ac:dyDescent="0.25">
      <c r="A5993" t="str">
        <f>"770802775"</f>
        <v>770802775</v>
      </c>
      <c r="B5993" t="str">
        <f>"EHPAD LA HOUSSAIE"</f>
        <v>EHPAD LA HOUSSAIE</v>
      </c>
      <c r="C5993" t="s">
        <v>71</v>
      </c>
    </row>
    <row r="5994" spans="1:3" x14ac:dyDescent="0.25">
      <c r="A5994" t="str">
        <f>"770803377"</f>
        <v>770803377</v>
      </c>
      <c r="B5994" t="str">
        <f>"EHPAD LA FORESTIERE"</f>
        <v>EHPAD LA FORESTIERE</v>
      </c>
      <c r="C5994" t="s">
        <v>71</v>
      </c>
    </row>
    <row r="5995" spans="1:3" x14ac:dyDescent="0.25">
      <c r="A5995" t="str">
        <f>"770803419"</f>
        <v>770803419</v>
      </c>
      <c r="B5995" t="str">
        <f>"EHPAD KORIAN SAINTE GENEVIEVE"</f>
        <v>EHPAD KORIAN SAINTE GENEVIEVE</v>
      </c>
      <c r="C5995" t="s">
        <v>71</v>
      </c>
    </row>
    <row r="5996" spans="1:3" x14ac:dyDescent="0.25">
      <c r="A5996" t="str">
        <f>"770803427"</f>
        <v>770803427</v>
      </c>
      <c r="B5996" t="str">
        <f>"EHPAD LE CHATEAU DES CEDRES"</f>
        <v>EHPAD LE CHATEAU DES CEDRES</v>
      </c>
      <c r="C5996" t="s">
        <v>71</v>
      </c>
    </row>
    <row r="5997" spans="1:3" x14ac:dyDescent="0.25">
      <c r="A5997" t="str">
        <f>"770803443"</f>
        <v>770803443</v>
      </c>
      <c r="B5997" t="str">
        <f>"EHPAD MAISON DE RETRAITE DE MALNOUE"</f>
        <v>EHPAD MAISON DE RETRAITE DE MALNOUE</v>
      </c>
      <c r="C5997" t="s">
        <v>71</v>
      </c>
    </row>
    <row r="5998" spans="1:3" x14ac:dyDescent="0.25">
      <c r="A5998" t="str">
        <f>"770803450"</f>
        <v>770803450</v>
      </c>
      <c r="B5998" t="str">
        <f>"EHPAD LE CHATEAU DE VILLENIARD"</f>
        <v>EHPAD LE CHATEAU DE VILLENIARD</v>
      </c>
      <c r="C5998" t="s">
        <v>71</v>
      </c>
    </row>
    <row r="5999" spans="1:3" x14ac:dyDescent="0.25">
      <c r="A5999" t="str">
        <f>"770803468"</f>
        <v>770803468</v>
      </c>
      <c r="B5999" t="str">
        <f>"EHPAD CHATEAU DU PLESSIS PICARD"</f>
        <v>EHPAD CHATEAU DU PLESSIS PICARD</v>
      </c>
      <c r="C5999" t="s">
        <v>71</v>
      </c>
    </row>
    <row r="6000" spans="1:3" x14ac:dyDescent="0.25">
      <c r="A6000" t="str">
        <f>"770803476"</f>
        <v>770803476</v>
      </c>
      <c r="B6000" t="str">
        <f>"EHPAD RESIDENCE LES TOURNESOLS"</f>
        <v>EHPAD RESIDENCE LES TOURNESOLS</v>
      </c>
      <c r="C6000" t="s">
        <v>71</v>
      </c>
    </row>
    <row r="6001" spans="1:3" x14ac:dyDescent="0.25">
      <c r="A6001" t="str">
        <f>"770803492"</f>
        <v>770803492</v>
      </c>
      <c r="B6001" t="str">
        <f>"EHPAD LES JARDINS DE BUSSY"</f>
        <v>EHPAD LES JARDINS DE BUSSY</v>
      </c>
      <c r="C6001" t="s">
        <v>71</v>
      </c>
    </row>
    <row r="6002" spans="1:3" x14ac:dyDescent="0.25">
      <c r="A6002" t="str">
        <f>"770803534"</f>
        <v>770803534</v>
      </c>
      <c r="B6002" t="str">
        <f>"EHPAD VILLA BAUCIS FONTAINEBLEAU"</f>
        <v>EHPAD VILLA BAUCIS FONTAINEBLEAU</v>
      </c>
      <c r="C6002" t="s">
        <v>71</v>
      </c>
    </row>
    <row r="6003" spans="1:3" x14ac:dyDescent="0.25">
      <c r="A6003" t="str">
        <f>"770803575"</f>
        <v>770803575</v>
      </c>
      <c r="B6003" t="str">
        <f>"EHPAD MAISON DES AUGUSTINES"</f>
        <v>EHPAD MAISON DES AUGUSTINES</v>
      </c>
      <c r="C6003" t="s">
        <v>71</v>
      </c>
    </row>
    <row r="6004" spans="1:3" x14ac:dyDescent="0.25">
      <c r="A6004" t="str">
        <f>"770803591"</f>
        <v>770803591</v>
      </c>
      <c r="B6004" t="str">
        <f>"EHPAD LE CHATEAU DE FONTENELLE"</f>
        <v>EHPAD LE CHATEAU DE FONTENELLE</v>
      </c>
      <c r="C6004" t="s">
        <v>71</v>
      </c>
    </row>
    <row r="6005" spans="1:3" x14ac:dyDescent="0.25">
      <c r="A6005" t="str">
        <f>"770803682"</f>
        <v>770803682</v>
      </c>
      <c r="B6005" t="str">
        <f>"EHPAD LE CERCLE DES AINES"</f>
        <v>EHPAD LE CERCLE DES AINES</v>
      </c>
      <c r="C6005" t="s">
        <v>71</v>
      </c>
    </row>
    <row r="6006" spans="1:3" x14ac:dyDescent="0.25">
      <c r="A6006" t="str">
        <f>"770803716"</f>
        <v>770803716</v>
      </c>
      <c r="B6006" t="str">
        <f>"EHPAD CENTRE HOSPITALIER DE JOUARRE"</f>
        <v>EHPAD CENTRE HOSPITALIER DE JOUARRE</v>
      </c>
      <c r="C6006" t="s">
        <v>71</v>
      </c>
    </row>
    <row r="6007" spans="1:3" x14ac:dyDescent="0.25">
      <c r="A6007" t="str">
        <f>"770808632"</f>
        <v>770808632</v>
      </c>
      <c r="B6007" t="str">
        <f>"EHPAD DU PAYS DE FONTAINEBLEAU"</f>
        <v>EHPAD DU PAYS DE FONTAINEBLEAU</v>
      </c>
      <c r="C6007" t="s">
        <v>71</v>
      </c>
    </row>
    <row r="6008" spans="1:3" x14ac:dyDescent="0.25">
      <c r="A6008" t="str">
        <f>"770808673"</f>
        <v>770808673</v>
      </c>
      <c r="B6008" t="str">
        <f>"EHPAD RESIDENCE KORIAN LES ROSES"</f>
        <v>EHPAD RESIDENCE KORIAN LES ROSES</v>
      </c>
      <c r="C6008" t="s">
        <v>71</v>
      </c>
    </row>
    <row r="6009" spans="1:3" x14ac:dyDescent="0.25">
      <c r="A6009" t="str">
        <f>"770808806"</f>
        <v>770808806</v>
      </c>
      <c r="B6009" t="str">
        <f>"EHPAD DU CH MELUN"</f>
        <v>EHPAD DU CH MELUN</v>
      </c>
      <c r="C6009" t="s">
        <v>71</v>
      </c>
    </row>
    <row r="6010" spans="1:3" x14ac:dyDescent="0.25">
      <c r="A6010" t="str">
        <f>"770809218"</f>
        <v>770809218</v>
      </c>
      <c r="B6010" t="str">
        <f>"EHPAD DU PAYS DE MONTEREAU"</f>
        <v>EHPAD DU PAYS DE MONTEREAU</v>
      </c>
      <c r="C6010" t="s">
        <v>71</v>
      </c>
    </row>
    <row r="6011" spans="1:3" x14ac:dyDescent="0.25">
      <c r="A6011" t="str">
        <f>"770810406"</f>
        <v>770810406</v>
      </c>
      <c r="B6011" t="str">
        <f>"EHPAD RESIDENCE DE L AUBETIN"</f>
        <v>EHPAD RESIDENCE DE L AUBETIN</v>
      </c>
      <c r="C6011" t="s">
        <v>71</v>
      </c>
    </row>
    <row r="6012" spans="1:3" x14ac:dyDescent="0.25">
      <c r="A6012" t="str">
        <f>"770811222"</f>
        <v>770811222</v>
      </c>
      <c r="B6012" t="str">
        <f>"EHPAD REPOTEL SAVIGNY"</f>
        <v>EHPAD REPOTEL SAVIGNY</v>
      </c>
      <c r="C6012" t="s">
        <v>71</v>
      </c>
    </row>
    <row r="6013" spans="1:3" x14ac:dyDescent="0.25">
      <c r="A6013" t="str">
        <f>"770811313"</f>
        <v>770811313</v>
      </c>
      <c r="B6013" t="str">
        <f>"EHPAD ARTHUR VERNES"</f>
        <v>EHPAD ARTHUR VERNES</v>
      </c>
      <c r="C6013" t="s">
        <v>71</v>
      </c>
    </row>
    <row r="6014" spans="1:3" x14ac:dyDescent="0.25">
      <c r="A6014" t="str">
        <f>"770811545"</f>
        <v>770811545</v>
      </c>
      <c r="B6014" t="str">
        <f>"EHPAD MELOD HIER"</f>
        <v>EHPAD MELOD HIER</v>
      </c>
      <c r="C6014" t="s">
        <v>71</v>
      </c>
    </row>
    <row r="6015" spans="1:3" x14ac:dyDescent="0.25">
      <c r="A6015" t="str">
        <f>"770811560"</f>
        <v>770811560</v>
      </c>
      <c r="B6015" t="str">
        <f>"EHPAD RESIDENCE DU HAMEAU DE VILLERS"</f>
        <v>EHPAD RESIDENCE DU HAMEAU DE VILLERS</v>
      </c>
      <c r="C6015" t="s">
        <v>71</v>
      </c>
    </row>
    <row r="6016" spans="1:3" x14ac:dyDescent="0.25">
      <c r="A6016" t="str">
        <f>"770811784"</f>
        <v>770811784</v>
      </c>
      <c r="B6016" t="str">
        <f>"EHPAD DE TOURNAN EN BRIE"</f>
        <v>EHPAD DE TOURNAN EN BRIE</v>
      </c>
      <c r="C6016" t="s">
        <v>71</v>
      </c>
    </row>
    <row r="6017" spans="1:3" x14ac:dyDescent="0.25">
      <c r="A6017" t="str">
        <f>"770813749"</f>
        <v>770813749</v>
      </c>
      <c r="B6017" t="str">
        <f>"EHPAD RESIDENCE LA PETITE MAISON"</f>
        <v>EHPAD RESIDENCE LA PETITE MAISON</v>
      </c>
      <c r="C6017" t="s">
        <v>71</v>
      </c>
    </row>
    <row r="6018" spans="1:3" x14ac:dyDescent="0.25">
      <c r="A6018" t="str">
        <f>"770813905"</f>
        <v>770813905</v>
      </c>
      <c r="B6018" t="str">
        <f>"EHPAD LA TABLE RONDE"</f>
        <v>EHPAD LA TABLE RONDE</v>
      </c>
      <c r="C6018" t="s">
        <v>71</v>
      </c>
    </row>
    <row r="6019" spans="1:3" x14ac:dyDescent="0.25">
      <c r="A6019" t="str">
        <f>"770813939"</f>
        <v>770813939</v>
      </c>
      <c r="B6019" t="str">
        <f>"EHPAD LES JARDINS DE SEDNA"</f>
        <v>EHPAD LES JARDINS DE SEDNA</v>
      </c>
      <c r="C6019" t="s">
        <v>71</v>
      </c>
    </row>
    <row r="6020" spans="1:3" x14ac:dyDescent="0.25">
      <c r="A6020" t="str">
        <f>"770813947"</f>
        <v>770813947</v>
      </c>
      <c r="B6020" t="str">
        <f>"EHPAD RESIDENCE LA MARQUISE"</f>
        <v>EHPAD RESIDENCE LA MARQUISE</v>
      </c>
      <c r="C6020" t="s">
        <v>71</v>
      </c>
    </row>
    <row r="6021" spans="1:3" x14ac:dyDescent="0.25">
      <c r="A6021" t="str">
        <f>"770814044"</f>
        <v>770814044</v>
      </c>
      <c r="B6021" t="str">
        <f>"EHPAD RESIDENCE KLARENE"</f>
        <v>EHPAD RESIDENCE KLARENE</v>
      </c>
      <c r="C6021" t="s">
        <v>71</v>
      </c>
    </row>
    <row r="6022" spans="1:3" x14ac:dyDescent="0.25">
      <c r="A6022" t="str">
        <f>"770814093"</f>
        <v>770814093</v>
      </c>
      <c r="B6022" t="str">
        <f>"EHPAD L OREE DU BOIS"</f>
        <v>EHPAD L OREE DU BOIS</v>
      </c>
      <c r="C6022" t="s">
        <v>71</v>
      </c>
    </row>
    <row r="6023" spans="1:3" x14ac:dyDescent="0.25">
      <c r="A6023" t="str">
        <f>"770814655"</f>
        <v>770814655</v>
      </c>
      <c r="B6023" t="str">
        <f>"EHPAD RESIDENCE DU CHATEAU"</f>
        <v>EHPAD RESIDENCE DU CHATEAU</v>
      </c>
      <c r="C6023" t="s">
        <v>71</v>
      </c>
    </row>
    <row r="6024" spans="1:3" x14ac:dyDescent="0.25">
      <c r="A6024" t="str">
        <f>"770814671"</f>
        <v>770814671</v>
      </c>
      <c r="B6024" t="str">
        <f>"EHPAD LES JARDINS DU LOING"</f>
        <v>EHPAD LES JARDINS DU LOING</v>
      </c>
      <c r="C6024" t="s">
        <v>71</v>
      </c>
    </row>
    <row r="6025" spans="1:3" x14ac:dyDescent="0.25">
      <c r="A6025" t="str">
        <f>"770814689"</f>
        <v>770814689</v>
      </c>
      <c r="B6025" t="str">
        <f>"EHPAD LA MAISON DU GRAND CHENE"</f>
        <v>EHPAD LA MAISON DU GRAND CHENE</v>
      </c>
      <c r="C6025" t="s">
        <v>71</v>
      </c>
    </row>
    <row r="6026" spans="1:3" x14ac:dyDescent="0.25">
      <c r="A6026" t="str">
        <f>"770814754"</f>
        <v>770814754</v>
      </c>
      <c r="B6026" t="str">
        <f>"EHPAD LES OPALINES"</f>
        <v>EHPAD LES OPALINES</v>
      </c>
      <c r="C6026" t="s">
        <v>71</v>
      </c>
    </row>
    <row r="6027" spans="1:3" x14ac:dyDescent="0.25">
      <c r="A6027" t="str">
        <f>"770814804"</f>
        <v>770814804</v>
      </c>
      <c r="B6027" t="str">
        <f>"EHPAD RESIDENCE HARMONIE"</f>
        <v>EHPAD RESIDENCE HARMONIE</v>
      </c>
      <c r="C6027" t="s">
        <v>71</v>
      </c>
    </row>
    <row r="6028" spans="1:3" x14ac:dyDescent="0.25">
      <c r="A6028" t="str">
        <f>"770814846"</f>
        <v>770814846</v>
      </c>
      <c r="B6028" t="str">
        <f>"EHPAD LE VILLAGE"</f>
        <v>EHPAD LE VILLAGE</v>
      </c>
      <c r="C6028" t="s">
        <v>71</v>
      </c>
    </row>
    <row r="6029" spans="1:3" x14ac:dyDescent="0.25">
      <c r="A6029" t="str">
        <f>"770814861"</f>
        <v>770814861</v>
      </c>
      <c r="B6029" t="str">
        <f>"EHPAD RESIDENCE DE L ETANG"</f>
        <v>EHPAD RESIDENCE DE L ETANG</v>
      </c>
      <c r="C6029" t="s">
        <v>71</v>
      </c>
    </row>
    <row r="6030" spans="1:3" x14ac:dyDescent="0.25">
      <c r="A6030" t="str">
        <f>"770814895"</f>
        <v>770814895</v>
      </c>
      <c r="B6030" t="str">
        <f>"EHPAD RESIDENCE DE L ERMITAGE"</f>
        <v>EHPAD RESIDENCE DE L ERMITAGE</v>
      </c>
      <c r="C6030" t="s">
        <v>71</v>
      </c>
    </row>
    <row r="6031" spans="1:3" x14ac:dyDescent="0.25">
      <c r="A6031" t="str">
        <f>"770814952"</f>
        <v>770814952</v>
      </c>
      <c r="B6031" t="str">
        <f>"EHPAD QUIETUDE"</f>
        <v>EHPAD QUIETUDE</v>
      </c>
      <c r="C6031" t="s">
        <v>71</v>
      </c>
    </row>
    <row r="6032" spans="1:3" x14ac:dyDescent="0.25">
      <c r="A6032" t="str">
        <f>"770814994"</f>
        <v>770814994</v>
      </c>
      <c r="B6032" t="str">
        <f>"EHPAD RESIDENCE DE CHANTEMERLE"</f>
        <v>EHPAD RESIDENCE DE CHANTEMERLE</v>
      </c>
      <c r="C6032" t="s">
        <v>71</v>
      </c>
    </row>
    <row r="6033" spans="1:3" x14ac:dyDescent="0.25">
      <c r="A6033" t="str">
        <f>"770815009"</f>
        <v>770815009</v>
      </c>
      <c r="B6033" t="str">
        <f>"EHPAD RESIDENCE LES BRUYERES"</f>
        <v>EHPAD RESIDENCE LES BRUYERES</v>
      </c>
      <c r="C6033" t="s">
        <v>71</v>
      </c>
    </row>
    <row r="6034" spans="1:3" x14ac:dyDescent="0.25">
      <c r="A6034" t="str">
        <f>"770815140"</f>
        <v>770815140</v>
      </c>
      <c r="B6034" t="str">
        <f>"EHPAD KORIAN CHAINTREAUVILLE"</f>
        <v>EHPAD KORIAN CHAINTREAUVILLE</v>
      </c>
      <c r="C6034" t="s">
        <v>71</v>
      </c>
    </row>
    <row r="6035" spans="1:3" x14ac:dyDescent="0.25">
      <c r="A6035" t="str">
        <f>"770815223"</f>
        <v>770815223</v>
      </c>
      <c r="B6035" t="str">
        <f>"EHPAD RESIDENCE REPOTEL"</f>
        <v>EHPAD RESIDENCE REPOTEL</v>
      </c>
      <c r="C6035" t="s">
        <v>71</v>
      </c>
    </row>
    <row r="6036" spans="1:3" x14ac:dyDescent="0.25">
      <c r="A6036" t="str">
        <f>"770815272"</f>
        <v>770815272</v>
      </c>
      <c r="B6036" t="str">
        <f>"EHPAD LE CHATEAU DE MONTJAY"</f>
        <v>EHPAD LE CHATEAU DE MONTJAY</v>
      </c>
      <c r="C6036" t="s">
        <v>71</v>
      </c>
    </row>
    <row r="6037" spans="1:3" x14ac:dyDescent="0.25">
      <c r="A6037" t="str">
        <f>"770815306"</f>
        <v>770815306</v>
      </c>
      <c r="B6037" t="str">
        <f>"EHPAD RESIDENCE LE CHATEAU"</f>
        <v>EHPAD RESIDENCE LE CHATEAU</v>
      </c>
      <c r="C6037" t="s">
        <v>71</v>
      </c>
    </row>
    <row r="6038" spans="1:3" x14ac:dyDescent="0.25">
      <c r="A6038" t="str">
        <f>"770815579"</f>
        <v>770815579</v>
      </c>
      <c r="B6038" t="str">
        <f>"EHPAD RESIDENCE LBA - LA CARAVELLE"</f>
        <v>EHPAD RESIDENCE LBA - LA CARAVELLE</v>
      </c>
      <c r="C6038" t="s">
        <v>71</v>
      </c>
    </row>
    <row r="6039" spans="1:3" x14ac:dyDescent="0.25">
      <c r="A6039" t="str">
        <f>"770815827"</f>
        <v>770815827</v>
      </c>
      <c r="B6039" t="str">
        <f>"EHPAD KORIAN LA DETENTE"</f>
        <v>EHPAD KORIAN LA DETENTE</v>
      </c>
      <c r="C6039" t="s">
        <v>71</v>
      </c>
    </row>
    <row r="6040" spans="1:3" x14ac:dyDescent="0.25">
      <c r="A6040" t="str">
        <f>"770815876"</f>
        <v>770815876</v>
      </c>
      <c r="B6040" t="str">
        <f>"EHPAD LES FLORALIES"</f>
        <v>EHPAD LES FLORALIES</v>
      </c>
      <c r="C6040" t="s">
        <v>71</v>
      </c>
    </row>
    <row r="6041" spans="1:3" x14ac:dyDescent="0.25">
      <c r="A6041" t="str">
        <f>"770815884"</f>
        <v>770815884</v>
      </c>
      <c r="B6041" t="str">
        <f>"EHPAD RESIDENCE LES CHENES ROUGES"</f>
        <v>EHPAD RESIDENCE LES CHENES ROUGES</v>
      </c>
      <c r="C6041" t="s">
        <v>71</v>
      </c>
    </row>
    <row r="6042" spans="1:3" x14ac:dyDescent="0.25">
      <c r="A6042" t="str">
        <f>"770816601"</f>
        <v>770816601</v>
      </c>
      <c r="B6042" t="str">
        <f>"EHPAD LA RESIDENCE DES DEUX MOULINS"</f>
        <v>EHPAD LA RESIDENCE DES DEUX MOULINS</v>
      </c>
      <c r="C6042" t="s">
        <v>71</v>
      </c>
    </row>
    <row r="6043" spans="1:3" x14ac:dyDescent="0.25">
      <c r="A6043" t="str">
        <f>"780000204"</f>
        <v>780000204</v>
      </c>
      <c r="B6043" t="str">
        <f>"EHPAD VILLA D EPIDAURE"</f>
        <v>EHPAD VILLA D EPIDAURE</v>
      </c>
      <c r="C6043" t="s">
        <v>71</v>
      </c>
    </row>
    <row r="6044" spans="1:3" x14ac:dyDescent="0.25">
      <c r="A6044" t="str">
        <f>"780000220"</f>
        <v>780000220</v>
      </c>
      <c r="B6044" t="str">
        <f>"EHPAD MA MAISON"</f>
        <v>EHPAD MA MAISON</v>
      </c>
      <c r="C6044" t="s">
        <v>71</v>
      </c>
    </row>
    <row r="6045" spans="1:3" x14ac:dyDescent="0.25">
      <c r="A6045" t="str">
        <f>"780000238"</f>
        <v>780000238</v>
      </c>
      <c r="B6045" t="str">
        <f>"EHPAD DE L'INSTITUT MGEN LA VERRIERE"</f>
        <v>EHPAD DE L'INSTITUT MGEN LA VERRIERE</v>
      </c>
      <c r="C6045" t="s">
        <v>71</v>
      </c>
    </row>
    <row r="6046" spans="1:3" x14ac:dyDescent="0.25">
      <c r="A6046" t="str">
        <f>"780001731"</f>
        <v>780001731</v>
      </c>
      <c r="B6046" t="str">
        <f>"EHPAD LE CLOS SAINT JEAN"</f>
        <v>EHPAD LE CLOS SAINT JEAN</v>
      </c>
      <c r="C6046" t="s">
        <v>71</v>
      </c>
    </row>
    <row r="6047" spans="1:3" x14ac:dyDescent="0.25">
      <c r="A6047" t="str">
        <f>"780002408"</f>
        <v>780002408</v>
      </c>
      <c r="B6047" t="str">
        <f>"EHPAD COLISEE RESIDENCE DES COTEAUX"</f>
        <v>EHPAD COLISEE RESIDENCE DES COTEAUX</v>
      </c>
      <c r="C6047" t="s">
        <v>71</v>
      </c>
    </row>
    <row r="6048" spans="1:3" x14ac:dyDescent="0.25">
      <c r="A6048" t="str">
        <f>"780004669"</f>
        <v>780004669</v>
      </c>
      <c r="B6048" t="str">
        <f>"EHPAD LES LYS"</f>
        <v>EHPAD LES LYS</v>
      </c>
      <c r="C6048" t="s">
        <v>71</v>
      </c>
    </row>
    <row r="6049" spans="1:3" x14ac:dyDescent="0.25">
      <c r="A6049" t="str">
        <f>"780006458"</f>
        <v>780006458</v>
      </c>
      <c r="B6049" t="str">
        <f>"EHPAD RESIDENCE MARCONI"</f>
        <v>EHPAD RESIDENCE MARCONI</v>
      </c>
      <c r="C6049" t="s">
        <v>71</v>
      </c>
    </row>
    <row r="6050" spans="1:3" x14ac:dyDescent="0.25">
      <c r="A6050" t="str">
        <f>"780006508"</f>
        <v>780006508</v>
      </c>
      <c r="B6050" t="str">
        <f>"EHPAD LES JARDINS MEDICIS"</f>
        <v>EHPAD LES JARDINS MEDICIS</v>
      </c>
      <c r="C6050" t="s">
        <v>71</v>
      </c>
    </row>
    <row r="6051" spans="1:3" x14ac:dyDescent="0.25">
      <c r="A6051" t="str">
        <f>"780006599"</f>
        <v>780006599</v>
      </c>
      <c r="B6051" t="str">
        <f>"EHPAD LA FONTAINE"</f>
        <v>EHPAD LA FONTAINE</v>
      </c>
      <c r="C6051" t="s">
        <v>71</v>
      </c>
    </row>
    <row r="6052" spans="1:3" x14ac:dyDescent="0.25">
      <c r="A6052" t="str">
        <f>"780011359"</f>
        <v>780011359</v>
      </c>
      <c r="B6052" t="str">
        <f>"EHPAD LE PARC DE L ABBAYE"</f>
        <v>EHPAD LE PARC DE L ABBAYE</v>
      </c>
      <c r="C6052" t="s">
        <v>71</v>
      </c>
    </row>
    <row r="6053" spans="1:3" x14ac:dyDescent="0.25">
      <c r="A6053" t="str">
        <f>"780018206"</f>
        <v>780018206</v>
      </c>
      <c r="B6053" t="str">
        <f>"EHPAD LE PARC DU DONJON"</f>
        <v>EHPAD LE PARC DU DONJON</v>
      </c>
      <c r="C6053" t="s">
        <v>71</v>
      </c>
    </row>
    <row r="6054" spans="1:3" x14ac:dyDescent="0.25">
      <c r="A6054" t="str">
        <f>"780018560"</f>
        <v>780018560</v>
      </c>
      <c r="B6054" t="str">
        <f>"EHPAD LA VILLA DES AINES"</f>
        <v>EHPAD LA VILLA DES AINES</v>
      </c>
      <c r="C6054" t="s">
        <v>71</v>
      </c>
    </row>
    <row r="6055" spans="1:3" x14ac:dyDescent="0.25">
      <c r="A6055" t="str">
        <f>"780018792"</f>
        <v>780018792</v>
      </c>
      <c r="B6055" t="str">
        <f>"EHPAD LEOPOLD BELLAN DE MANTES LA JOLI"</f>
        <v>EHPAD LEOPOLD BELLAN DE MANTES LA JOLI</v>
      </c>
      <c r="C6055" t="s">
        <v>71</v>
      </c>
    </row>
    <row r="6056" spans="1:3" x14ac:dyDescent="0.25">
      <c r="A6056" t="str">
        <f>"780018826"</f>
        <v>780018826</v>
      </c>
      <c r="B6056" t="str">
        <f>"EHPAD RESIDENCE DU PARC"</f>
        <v>EHPAD RESIDENCE DU PARC</v>
      </c>
      <c r="C6056" t="s">
        <v>71</v>
      </c>
    </row>
    <row r="6057" spans="1:3" x14ac:dyDescent="0.25">
      <c r="A6057" t="str">
        <f>"780020087"</f>
        <v>780020087</v>
      </c>
      <c r="B6057" t="str">
        <f>"EHPAD DU CH DE MANTES"</f>
        <v>EHPAD DU CH DE MANTES</v>
      </c>
      <c r="C6057" t="s">
        <v>71</v>
      </c>
    </row>
    <row r="6058" spans="1:3" x14ac:dyDescent="0.25">
      <c r="A6058" t="str">
        <f>"780020665"</f>
        <v>780020665</v>
      </c>
      <c r="B6058" t="str">
        <f>"EHPAD RESIDENCE SIMON VOUET"</f>
        <v>EHPAD RESIDENCE SIMON VOUET</v>
      </c>
      <c r="C6058" t="s">
        <v>71</v>
      </c>
    </row>
    <row r="6059" spans="1:3" x14ac:dyDescent="0.25">
      <c r="A6059" t="str">
        <f>"780022356"</f>
        <v>780022356</v>
      </c>
      <c r="B6059" t="str">
        <f>"EHPAD KORIAN CHATEAU DE LA COULDRE"</f>
        <v>EHPAD KORIAN CHATEAU DE LA COULDRE</v>
      </c>
      <c r="C6059" t="s">
        <v>71</v>
      </c>
    </row>
    <row r="6060" spans="1:3" x14ac:dyDescent="0.25">
      <c r="A6060" t="str">
        <f>"780022364"</f>
        <v>780022364</v>
      </c>
      <c r="B6060" t="str">
        <f>"EHPAD LEOPOLD BELLAN DE MONTESSON"</f>
        <v>EHPAD LEOPOLD BELLAN DE MONTESSON</v>
      </c>
      <c r="C6060" t="s">
        <v>71</v>
      </c>
    </row>
    <row r="6061" spans="1:3" x14ac:dyDescent="0.25">
      <c r="A6061" t="str">
        <f>"780022372"</f>
        <v>780022372</v>
      </c>
      <c r="B6061" t="str">
        <f>"EHPAD COS LA SOURCE"</f>
        <v>EHPAD COS LA SOURCE</v>
      </c>
      <c r="C6061" t="s">
        <v>71</v>
      </c>
    </row>
    <row r="6062" spans="1:3" x14ac:dyDescent="0.25">
      <c r="A6062" t="str">
        <f>"780022752"</f>
        <v>780022752</v>
      </c>
      <c r="B6062" t="str">
        <f>"EHPAD RESIDENCE MADELEINE BRES"</f>
        <v>EHPAD RESIDENCE MADELEINE BRES</v>
      </c>
      <c r="C6062" t="s">
        <v>71</v>
      </c>
    </row>
    <row r="6063" spans="1:3" x14ac:dyDescent="0.25">
      <c r="A6063" t="str">
        <f>"780022877"</f>
        <v>780022877</v>
      </c>
      <c r="B6063" t="str">
        <f>"EHPAD KORIAN PARC DES DAMES"</f>
        <v>EHPAD KORIAN PARC DES DAMES</v>
      </c>
      <c r="C6063" t="s">
        <v>71</v>
      </c>
    </row>
    <row r="6064" spans="1:3" x14ac:dyDescent="0.25">
      <c r="A6064" t="str">
        <f>"780024261"</f>
        <v>780024261</v>
      </c>
      <c r="B6064" t="str">
        <f>"EHPAD RESIDENCE MAINTENON"</f>
        <v>EHPAD RESIDENCE MAINTENON</v>
      </c>
      <c r="C6064" t="s">
        <v>71</v>
      </c>
    </row>
    <row r="6065" spans="1:3" x14ac:dyDescent="0.25">
      <c r="A6065" t="str">
        <f>"780028015"</f>
        <v>780028015</v>
      </c>
      <c r="B6065" t="str">
        <f>"EHPAD 'RESIDENCE DU BOIS SOLEIL'"</f>
        <v>EHPAD 'RESIDENCE DU BOIS SOLEIL'</v>
      </c>
      <c r="C6065" t="s">
        <v>71</v>
      </c>
    </row>
    <row r="6066" spans="1:3" x14ac:dyDescent="0.25">
      <c r="A6066" t="str">
        <f>"780700670"</f>
        <v>780700670</v>
      </c>
      <c r="B6066" t="str">
        <f>"EHPAD PIERRE BIENVENU NOAILLES"</f>
        <v>EHPAD PIERRE BIENVENU NOAILLES</v>
      </c>
      <c r="C6066" t="s">
        <v>71</v>
      </c>
    </row>
    <row r="6067" spans="1:3" x14ac:dyDescent="0.25">
      <c r="A6067" t="str">
        <f>"780700688"</f>
        <v>780700688</v>
      </c>
      <c r="B6067" t="str">
        <f>"EHPAD LEPINE VERSAILLES"</f>
        <v>EHPAD LEPINE VERSAILLES</v>
      </c>
      <c r="C6067" t="s">
        <v>71</v>
      </c>
    </row>
    <row r="6068" spans="1:3" x14ac:dyDescent="0.25">
      <c r="A6068" t="str">
        <f>"780700746"</f>
        <v>780700746</v>
      </c>
      <c r="B6068" t="str">
        <f>"EHPAD SAINT LOUIS"</f>
        <v>EHPAD SAINT LOUIS</v>
      </c>
      <c r="C6068" t="s">
        <v>71</v>
      </c>
    </row>
    <row r="6069" spans="1:3" x14ac:dyDescent="0.25">
      <c r="A6069" t="str">
        <f>"780700803"</f>
        <v>780700803</v>
      </c>
      <c r="B6069" t="str">
        <f>"EHPAD CENTRE DE GERONTOLOGIE CLINIQUE"</f>
        <v>EHPAD CENTRE DE GERONTOLOGIE CLINIQUE</v>
      </c>
      <c r="C6069" t="s">
        <v>71</v>
      </c>
    </row>
    <row r="6070" spans="1:3" x14ac:dyDescent="0.25">
      <c r="A6070" t="str">
        <f>"780700845"</f>
        <v>780700845</v>
      </c>
      <c r="B6070" t="str">
        <f>"EHPAD SAINT JOSEPH"</f>
        <v>EHPAD SAINT JOSEPH</v>
      </c>
      <c r="C6070" t="s">
        <v>71</v>
      </c>
    </row>
    <row r="6071" spans="1:3" x14ac:dyDescent="0.25">
      <c r="A6071" t="str">
        <f>"780700860"</f>
        <v>780700860</v>
      </c>
      <c r="B6071" t="str">
        <f>"EHPAD LA MESANGERIE"</f>
        <v>EHPAD LA MESANGERIE</v>
      </c>
      <c r="C6071" t="s">
        <v>71</v>
      </c>
    </row>
    <row r="6072" spans="1:3" x14ac:dyDescent="0.25">
      <c r="A6072" t="str">
        <f>"780700894"</f>
        <v>780700894</v>
      </c>
      <c r="B6072" t="str">
        <f>"EHPAD CHAMPSFLEUR"</f>
        <v>EHPAD CHAMPSFLEUR</v>
      </c>
      <c r="C6072" t="s">
        <v>71</v>
      </c>
    </row>
    <row r="6073" spans="1:3" x14ac:dyDescent="0.25">
      <c r="A6073" t="str">
        <f>"780700902"</f>
        <v>780700902</v>
      </c>
      <c r="B6073" t="str">
        <f>"EHPAD LEOPOLD BELLAN DE SEPTEUIL"</f>
        <v>EHPAD LEOPOLD BELLAN DE SEPTEUIL</v>
      </c>
      <c r="C6073" t="s">
        <v>71</v>
      </c>
    </row>
    <row r="6074" spans="1:3" x14ac:dyDescent="0.25">
      <c r="A6074" t="str">
        <f>"780700969"</f>
        <v>780700969</v>
      </c>
      <c r="B6074" t="str">
        <f>"EHPAD INTERCOMMUNAL LES OISEAUX"</f>
        <v>EHPAD INTERCOMMUNAL LES OISEAUX</v>
      </c>
      <c r="C6074" t="s">
        <v>71</v>
      </c>
    </row>
    <row r="6075" spans="1:3" x14ac:dyDescent="0.25">
      <c r="A6075" t="str">
        <f>"780700985"</f>
        <v>780700985</v>
      </c>
      <c r="B6075" t="str">
        <f>"EHPAD HYACINTHE RICHAUD"</f>
        <v>EHPAD HYACINTHE RICHAUD</v>
      </c>
      <c r="C6075" t="s">
        <v>71</v>
      </c>
    </row>
    <row r="6076" spans="1:3" x14ac:dyDescent="0.25">
      <c r="A6076" t="str">
        <f>"780701041"</f>
        <v>780701041</v>
      </c>
      <c r="B6076" t="str">
        <f>"EHPAD RICHARD"</f>
        <v>EHPAD RICHARD</v>
      </c>
      <c r="C6076" t="s">
        <v>71</v>
      </c>
    </row>
    <row r="6077" spans="1:3" x14ac:dyDescent="0.25">
      <c r="A6077" t="str">
        <f>"780701066"</f>
        <v>780701066</v>
      </c>
      <c r="B6077" t="str">
        <f>"EHPAD D ABLIS"</f>
        <v>EHPAD D ABLIS</v>
      </c>
      <c r="C6077" t="s">
        <v>71</v>
      </c>
    </row>
    <row r="6078" spans="1:3" x14ac:dyDescent="0.25">
      <c r="A6078" t="str">
        <f>"780701082"</f>
        <v>780701082</v>
      </c>
      <c r="B6078" t="str">
        <f>"EHPAD LES AULNETTES"</f>
        <v>EHPAD LES AULNETTES</v>
      </c>
      <c r="C6078" t="s">
        <v>71</v>
      </c>
    </row>
    <row r="6079" spans="1:3" x14ac:dyDescent="0.25">
      <c r="A6079" t="str">
        <f>"780701538"</f>
        <v>780701538</v>
      </c>
      <c r="B6079" t="str">
        <f>"EHPAD LE BELVEDERE"</f>
        <v>EHPAD LE BELVEDERE</v>
      </c>
      <c r="C6079" t="s">
        <v>71</v>
      </c>
    </row>
    <row r="6080" spans="1:3" x14ac:dyDescent="0.25">
      <c r="A6080" t="str">
        <f>"780701595"</f>
        <v>780701595</v>
      </c>
      <c r="B6080" t="str">
        <f>"EHPAD LE FORT MANOIR"</f>
        <v>EHPAD LE FORT MANOIR</v>
      </c>
      <c r="C6080" t="s">
        <v>71</v>
      </c>
    </row>
    <row r="6081" spans="1:3" x14ac:dyDescent="0.25">
      <c r="A6081" t="str">
        <f>"780701637"</f>
        <v>780701637</v>
      </c>
      <c r="B6081" t="str">
        <f>"EHPAD NOTRE DAME LE PECQ"</f>
        <v>EHPAD NOTRE DAME LE PECQ</v>
      </c>
      <c r="C6081" t="s">
        <v>71</v>
      </c>
    </row>
    <row r="6082" spans="1:3" x14ac:dyDescent="0.25">
      <c r="A6082" t="str">
        <f>"780701645"</f>
        <v>780701645</v>
      </c>
      <c r="B6082" t="str">
        <f>"EHPAD LA MARECHALERIE"</f>
        <v>EHPAD LA MARECHALERIE</v>
      </c>
      <c r="C6082" t="s">
        <v>71</v>
      </c>
    </row>
    <row r="6083" spans="1:3" x14ac:dyDescent="0.25">
      <c r="A6083" t="str">
        <f>"780701652"</f>
        <v>780701652</v>
      </c>
      <c r="B6083" t="str">
        <f>"EHPAD RESIDENCE GEORGES ROSSET"</f>
        <v>EHPAD RESIDENCE GEORGES ROSSET</v>
      </c>
      <c r="C6083" t="s">
        <v>71</v>
      </c>
    </row>
    <row r="6084" spans="1:3" x14ac:dyDescent="0.25">
      <c r="A6084" t="str">
        <f>"780701710"</f>
        <v>780701710</v>
      </c>
      <c r="B6084" t="str">
        <f>"EHPAD LES DAMES AUGUSTINES"</f>
        <v>EHPAD LES DAMES AUGUSTINES</v>
      </c>
      <c r="C6084" t="s">
        <v>71</v>
      </c>
    </row>
    <row r="6085" spans="1:3" x14ac:dyDescent="0.25">
      <c r="A6085" t="str">
        <f>"780701744"</f>
        <v>780701744</v>
      </c>
      <c r="B6085" t="str">
        <f>"EHPAD LA RESIDENCE MEDICIS"</f>
        <v>EHPAD LA RESIDENCE MEDICIS</v>
      </c>
      <c r="C6085" t="s">
        <v>71</v>
      </c>
    </row>
    <row r="6086" spans="1:3" x14ac:dyDescent="0.25">
      <c r="A6086" t="str">
        <f>"780701769"</f>
        <v>780701769</v>
      </c>
      <c r="B6086" t="str">
        <f>"EHPAD MON REPOS"</f>
        <v>EHPAD MON REPOS</v>
      </c>
      <c r="C6086" t="s">
        <v>71</v>
      </c>
    </row>
    <row r="6087" spans="1:3" x14ac:dyDescent="0.25">
      <c r="A6087" t="str">
        <f>"780701793"</f>
        <v>780701793</v>
      </c>
      <c r="B6087" t="str">
        <f>"EHPAD RESIDENCE ISATIS"</f>
        <v>EHPAD RESIDENCE ISATIS</v>
      </c>
      <c r="C6087" t="s">
        <v>71</v>
      </c>
    </row>
    <row r="6088" spans="1:3" x14ac:dyDescent="0.25">
      <c r="A6088" t="str">
        <f>"780702676"</f>
        <v>780702676</v>
      </c>
      <c r="B6088" t="str">
        <f>"EHPAD STEPHANIE"</f>
        <v>EHPAD STEPHANIE</v>
      </c>
      <c r="C6088" t="s">
        <v>71</v>
      </c>
    </row>
    <row r="6089" spans="1:3" x14ac:dyDescent="0.25">
      <c r="A6089" t="str">
        <f>"780800306"</f>
        <v>780800306</v>
      </c>
      <c r="B6089" t="str">
        <f>"EHPAD CHATELAIN GUILLET"</f>
        <v>EHPAD CHATELAIN GUILLET</v>
      </c>
      <c r="C6089" t="s">
        <v>71</v>
      </c>
    </row>
    <row r="6090" spans="1:3" x14ac:dyDescent="0.25">
      <c r="A6090" t="str">
        <f>"780800363"</f>
        <v>780800363</v>
      </c>
      <c r="B6090" t="str">
        <f>"EHPAD CH LA MAULDRE SITE BOIS RENOULT"</f>
        <v>EHPAD CH LA MAULDRE SITE BOIS RENOULT</v>
      </c>
      <c r="C6090" t="s">
        <v>71</v>
      </c>
    </row>
    <row r="6091" spans="1:3" x14ac:dyDescent="0.25">
      <c r="A6091" t="str">
        <f>"780800587"</f>
        <v>780800587</v>
      </c>
      <c r="B6091" t="str">
        <f>"EHPAD DE L HOPITAL DE HOUDAN"</f>
        <v>EHPAD DE L HOPITAL DE HOUDAN</v>
      </c>
      <c r="C6091" t="s">
        <v>71</v>
      </c>
    </row>
    <row r="6092" spans="1:3" x14ac:dyDescent="0.25">
      <c r="A6092" t="str">
        <f>"780800736"</f>
        <v>780800736</v>
      </c>
      <c r="B6092" t="str">
        <f>"EHPAD DES SOEURS AUGUSTINES VERSAILLES"</f>
        <v>EHPAD DES SOEURS AUGUSTINES VERSAILLES</v>
      </c>
      <c r="C6092" t="s">
        <v>71</v>
      </c>
    </row>
    <row r="6093" spans="1:3" x14ac:dyDescent="0.25">
      <c r="A6093" t="str">
        <f>"780800876"</f>
        <v>780800876</v>
      </c>
      <c r="B6093" t="str">
        <f>"EHPAD HERVIEUX"</f>
        <v>EHPAD HERVIEUX</v>
      </c>
      <c r="C6093" t="s">
        <v>71</v>
      </c>
    </row>
    <row r="6094" spans="1:3" x14ac:dyDescent="0.25">
      <c r="A6094" t="str">
        <f>"780801726"</f>
        <v>780801726</v>
      </c>
      <c r="B6094" t="str">
        <f>"EHPAD CASTEL FLEURI"</f>
        <v>EHPAD CASTEL FLEURI</v>
      </c>
      <c r="C6094" t="s">
        <v>71</v>
      </c>
    </row>
    <row r="6095" spans="1:3" x14ac:dyDescent="0.25">
      <c r="A6095" t="str">
        <f>"780801742"</f>
        <v>780801742</v>
      </c>
      <c r="B6095" t="str">
        <f>"EHPAD LES JARDINS MEDICIS"</f>
        <v>EHPAD LES JARDINS MEDICIS</v>
      </c>
      <c r="C6095" t="s">
        <v>71</v>
      </c>
    </row>
    <row r="6096" spans="1:3" x14ac:dyDescent="0.25">
      <c r="A6096" t="str">
        <f>"780802021"</f>
        <v>780802021</v>
      </c>
      <c r="B6096" t="str">
        <f>"EHPAD RESIDENCE LE TILLEUL"</f>
        <v>EHPAD RESIDENCE LE TILLEUL</v>
      </c>
      <c r="C6096" t="s">
        <v>71</v>
      </c>
    </row>
    <row r="6097" spans="1:3" x14ac:dyDescent="0.25">
      <c r="A6097" t="str">
        <f>"780802138"</f>
        <v>780802138</v>
      </c>
      <c r="B6097" t="str">
        <f>"EHPAD RESIDENCE REPOTEL"</f>
        <v>EHPAD RESIDENCE REPOTEL</v>
      </c>
      <c r="C6097" t="s">
        <v>71</v>
      </c>
    </row>
    <row r="6098" spans="1:3" x14ac:dyDescent="0.25">
      <c r="A6098" t="str">
        <f>"780802468"</f>
        <v>780802468</v>
      </c>
      <c r="B6098" t="str">
        <f>"EHPAD LA ROSERAIE"</f>
        <v>EHPAD LA ROSERAIE</v>
      </c>
      <c r="C6098" t="s">
        <v>71</v>
      </c>
    </row>
    <row r="6099" spans="1:3" x14ac:dyDescent="0.25">
      <c r="A6099" t="str">
        <f>"780803995"</f>
        <v>780803995</v>
      </c>
      <c r="B6099" t="str">
        <f>"EHPAD LES PATIOS D ANGENNES"</f>
        <v>EHPAD LES PATIOS D ANGENNES</v>
      </c>
      <c r="C6099" t="s">
        <v>71</v>
      </c>
    </row>
    <row r="6100" spans="1:3" x14ac:dyDescent="0.25">
      <c r="A6100" t="str">
        <f>"780804035"</f>
        <v>780804035</v>
      </c>
      <c r="B6100" t="str">
        <f>"EHPAD DU CENTRE DE GERONTOLOGIE"</f>
        <v>EHPAD DU CENTRE DE GERONTOLOGIE</v>
      </c>
      <c r="C6100" t="s">
        <v>71</v>
      </c>
    </row>
    <row r="6101" spans="1:3" x14ac:dyDescent="0.25">
      <c r="A6101" t="str">
        <f>"780804043"</f>
        <v>780804043</v>
      </c>
      <c r="B6101" t="str">
        <f>"EHPAD CH DE LA MAULDRE SITE ST LOUIS"</f>
        <v>EHPAD CH DE LA MAULDRE SITE ST LOUIS</v>
      </c>
      <c r="C6101" t="s">
        <v>71</v>
      </c>
    </row>
    <row r="6102" spans="1:3" x14ac:dyDescent="0.25">
      <c r="A6102" t="str">
        <f>"780804803"</f>
        <v>780804803</v>
      </c>
      <c r="B6102" t="str">
        <f>"EHPAD LES CHENES D OR"</f>
        <v>EHPAD LES CHENES D OR</v>
      </c>
      <c r="C6102" t="s">
        <v>71</v>
      </c>
    </row>
    <row r="6103" spans="1:3" x14ac:dyDescent="0.25">
      <c r="A6103" t="str">
        <f>"780804845"</f>
        <v>780804845</v>
      </c>
      <c r="B6103" t="str">
        <f>"EHPAD KORIAN LE COEUR VOLANT"</f>
        <v>EHPAD KORIAN LE COEUR VOLANT</v>
      </c>
      <c r="C6103" t="s">
        <v>71</v>
      </c>
    </row>
    <row r="6104" spans="1:3" x14ac:dyDescent="0.25">
      <c r="A6104" t="str">
        <f>"780805966"</f>
        <v>780805966</v>
      </c>
      <c r="B6104" t="str">
        <f>"EHPAD HOP GERONTO MS PLAISIR GRIGNON"</f>
        <v>EHPAD HOP GERONTO MS PLAISIR GRIGNON</v>
      </c>
      <c r="C6104" t="s">
        <v>71</v>
      </c>
    </row>
    <row r="6105" spans="1:3" x14ac:dyDescent="0.25">
      <c r="A6105" t="str">
        <f>"780822052"</f>
        <v>780822052</v>
      </c>
      <c r="B6105" t="str">
        <f>"EHPAD JULIETTE VICTOR"</f>
        <v>EHPAD JULIETTE VICTOR</v>
      </c>
      <c r="C6105" t="s">
        <v>71</v>
      </c>
    </row>
    <row r="6106" spans="1:3" x14ac:dyDescent="0.25">
      <c r="A6106" t="str">
        <f>"780822110"</f>
        <v>780822110</v>
      </c>
      <c r="B6106" t="str">
        <f>"EHPAD LA RESIDENCE DU SOURIRE"</f>
        <v>EHPAD LA RESIDENCE DU SOURIRE</v>
      </c>
      <c r="C6106" t="s">
        <v>71</v>
      </c>
    </row>
    <row r="6107" spans="1:3" x14ac:dyDescent="0.25">
      <c r="A6107" t="str">
        <f>"780822466"</f>
        <v>780822466</v>
      </c>
      <c r="B6107" t="str">
        <f>"EHPAD KORIAN HAMEAU DU ROY"</f>
        <v>EHPAD KORIAN HAMEAU DU ROY</v>
      </c>
      <c r="C6107" t="s">
        <v>71</v>
      </c>
    </row>
    <row r="6108" spans="1:3" x14ac:dyDescent="0.25">
      <c r="A6108" t="str">
        <f>"780823084"</f>
        <v>780823084</v>
      </c>
      <c r="B6108" t="str">
        <f>"EHPAD KORIAN LES SAULES"</f>
        <v>EHPAD KORIAN LES SAULES</v>
      </c>
      <c r="C6108" t="s">
        <v>71</v>
      </c>
    </row>
    <row r="6109" spans="1:3" x14ac:dyDescent="0.25">
      <c r="A6109" t="str">
        <f>"780823100"</f>
        <v>780823100</v>
      </c>
      <c r="B6109" t="str">
        <f>"EHPAD RESIDENCE ANDRESY"</f>
        <v>EHPAD RESIDENCE ANDRESY</v>
      </c>
      <c r="C6109" t="s">
        <v>71</v>
      </c>
    </row>
    <row r="6110" spans="1:3" x14ac:dyDescent="0.25">
      <c r="A6110" t="str">
        <f>"780823191"</f>
        <v>780823191</v>
      </c>
      <c r="B6110" t="str">
        <f>"EHPAD RESIDENCE PARC DE MONTFORT"</f>
        <v>EHPAD RESIDENCE PARC DE MONTFORT</v>
      </c>
      <c r="C6110" t="s">
        <v>71</v>
      </c>
    </row>
    <row r="6111" spans="1:3" x14ac:dyDescent="0.25">
      <c r="A6111" t="str">
        <f>"780823332"</f>
        <v>780823332</v>
      </c>
      <c r="B6111" t="str">
        <f>"EHPAD RESIDENCE DU VAL DE SEINE"</f>
        <v>EHPAD RESIDENCE DU VAL DE SEINE</v>
      </c>
      <c r="C6111" t="s">
        <v>71</v>
      </c>
    </row>
    <row r="6112" spans="1:3" x14ac:dyDescent="0.25">
      <c r="A6112" t="str">
        <f>"780823357"</f>
        <v>780823357</v>
      </c>
      <c r="B6112" t="str">
        <f>"EHPAD LA CERISAIE"</f>
        <v>EHPAD LA CERISAIE</v>
      </c>
      <c r="C6112" t="s">
        <v>71</v>
      </c>
    </row>
    <row r="6113" spans="1:3" x14ac:dyDescent="0.25">
      <c r="A6113" t="str">
        <f>"780823373"</f>
        <v>780823373</v>
      </c>
      <c r="B6113" t="str">
        <f>"EHPAD KORIAN LES LILAS"</f>
        <v>EHPAD KORIAN LES LILAS</v>
      </c>
      <c r="C6113" t="s">
        <v>71</v>
      </c>
    </row>
    <row r="6114" spans="1:3" x14ac:dyDescent="0.25">
      <c r="A6114" t="str">
        <f>"780823415"</f>
        <v>780823415</v>
      </c>
      <c r="B6114" t="str">
        <f>"EHPAD RESIDENCE DE LA TOUR"</f>
        <v>EHPAD RESIDENCE DE LA TOUR</v>
      </c>
      <c r="C6114" t="s">
        <v>71</v>
      </c>
    </row>
    <row r="6115" spans="1:3" x14ac:dyDescent="0.25">
      <c r="A6115" t="str">
        <f>"780823423"</f>
        <v>780823423</v>
      </c>
      <c r="B6115" t="str">
        <f>"EHPAD KORIAN L ILE DE MIGNEAUX"</f>
        <v>EHPAD KORIAN L ILE DE MIGNEAUX</v>
      </c>
      <c r="C6115" t="s">
        <v>71</v>
      </c>
    </row>
    <row r="6116" spans="1:3" x14ac:dyDescent="0.25">
      <c r="A6116" t="str">
        <f>"780823654"</f>
        <v>780823654</v>
      </c>
      <c r="B6116" t="str">
        <f>"EHPAD KORIAN LE VAL D ESSONNE"</f>
        <v>EHPAD KORIAN LE VAL D ESSONNE</v>
      </c>
      <c r="C6116" t="s">
        <v>71</v>
      </c>
    </row>
    <row r="6117" spans="1:3" x14ac:dyDescent="0.25">
      <c r="A6117" t="str">
        <f>"780823795"</f>
        <v>780823795</v>
      </c>
      <c r="B6117" t="str">
        <f>"EHPAD LES TILLEULS"</f>
        <v>EHPAD LES TILLEULS</v>
      </c>
      <c r="C6117" t="s">
        <v>71</v>
      </c>
    </row>
    <row r="6118" spans="1:3" x14ac:dyDescent="0.25">
      <c r="A6118" t="str">
        <f>"780823878"</f>
        <v>780823878</v>
      </c>
      <c r="B6118" t="str">
        <f>"EHPAD LA ROSE DES VENTS"</f>
        <v>EHPAD LA ROSE DES VENTS</v>
      </c>
      <c r="C6118" t="s">
        <v>71</v>
      </c>
    </row>
    <row r="6119" spans="1:3" x14ac:dyDescent="0.25">
      <c r="A6119" t="str">
        <f>"780823928"</f>
        <v>780823928</v>
      </c>
      <c r="B6119" t="str">
        <f>"EHPAD RESIDENCE REPOTEL"</f>
        <v>EHPAD RESIDENCE REPOTEL</v>
      </c>
      <c r="C6119" t="s">
        <v>71</v>
      </c>
    </row>
    <row r="6120" spans="1:3" x14ac:dyDescent="0.25">
      <c r="A6120" t="str">
        <f>"780824082"</f>
        <v>780824082</v>
      </c>
      <c r="B6120" t="str">
        <f>"EHPAD KORIAN CLAIREFONTAINE"</f>
        <v>EHPAD KORIAN CLAIREFONTAINE</v>
      </c>
      <c r="C6120" t="s">
        <v>71</v>
      </c>
    </row>
    <row r="6121" spans="1:3" x14ac:dyDescent="0.25">
      <c r="A6121" t="str">
        <f>"780824256"</f>
        <v>780824256</v>
      </c>
      <c r="B6121" t="str">
        <f>"EHPAD KORIAN MANDOLINE"</f>
        <v>EHPAD KORIAN MANDOLINE</v>
      </c>
      <c r="C6121" t="s">
        <v>71</v>
      </c>
    </row>
    <row r="6122" spans="1:3" x14ac:dyDescent="0.25">
      <c r="A6122" t="str">
        <f>"780824876"</f>
        <v>780824876</v>
      </c>
      <c r="B6122" t="str">
        <f>"EHPAD LE CLOS DES PRIES"</f>
        <v>EHPAD LE CLOS DES PRIES</v>
      </c>
      <c r="C6122" t="s">
        <v>71</v>
      </c>
    </row>
    <row r="6123" spans="1:3" x14ac:dyDescent="0.25">
      <c r="A6123" t="str">
        <f>"780824884"</f>
        <v>780824884</v>
      </c>
      <c r="B6123" t="str">
        <f>"EHPAD VILLAGE SENIOR SAINT REMY"</f>
        <v>EHPAD VILLAGE SENIOR SAINT REMY</v>
      </c>
      <c r="C6123" t="s">
        <v>71</v>
      </c>
    </row>
    <row r="6124" spans="1:3" x14ac:dyDescent="0.25">
      <c r="A6124" t="str">
        <f>"780824942"</f>
        <v>780824942</v>
      </c>
      <c r="B6124" t="str">
        <f>"EHPAD RELAIS TENDRESSE GAZERAN"</f>
        <v>EHPAD RELAIS TENDRESSE GAZERAN</v>
      </c>
      <c r="C6124" t="s">
        <v>71</v>
      </c>
    </row>
    <row r="6125" spans="1:3" x14ac:dyDescent="0.25">
      <c r="A6125" t="str">
        <f>"780824959"</f>
        <v>780824959</v>
      </c>
      <c r="B6125" t="str">
        <f>"EHPAD RESIDENCE ELEUSIS"</f>
        <v>EHPAD RESIDENCE ELEUSIS</v>
      </c>
      <c r="C6125" t="s">
        <v>71</v>
      </c>
    </row>
    <row r="6126" spans="1:3" x14ac:dyDescent="0.25">
      <c r="A6126" t="str">
        <f>"780825295"</f>
        <v>780825295</v>
      </c>
      <c r="B6126" t="str">
        <f>"EHPAD CHATEAU DE CHAMBOURCY"</f>
        <v>EHPAD CHATEAU DE CHAMBOURCY</v>
      </c>
      <c r="C6126" t="s">
        <v>71</v>
      </c>
    </row>
    <row r="6127" spans="1:3" x14ac:dyDescent="0.25">
      <c r="A6127" t="str">
        <f>"780825675"</f>
        <v>780825675</v>
      </c>
      <c r="B6127" t="str">
        <f>"EHPAD LA FONTAINE MEDICIS"</f>
        <v>EHPAD LA FONTAINE MEDICIS</v>
      </c>
      <c r="C6127" t="s">
        <v>71</v>
      </c>
    </row>
    <row r="6128" spans="1:3" x14ac:dyDescent="0.25">
      <c r="A6128" t="str">
        <f>"780826038"</f>
        <v>780826038</v>
      </c>
      <c r="B6128" t="str">
        <f>"EHPAD KORIAN VILLA PEGASE"</f>
        <v>EHPAD KORIAN VILLA PEGASE</v>
      </c>
      <c r="C6128" t="s">
        <v>71</v>
      </c>
    </row>
    <row r="6129" spans="1:3" x14ac:dyDescent="0.25">
      <c r="A6129" t="str">
        <f>"780826137"</f>
        <v>780826137</v>
      </c>
      <c r="B6129" t="str">
        <f>"EHPAD RESIDENCE CLEMENCEAU"</f>
        <v>EHPAD RESIDENCE CLEMENCEAU</v>
      </c>
      <c r="C6129" t="s">
        <v>71</v>
      </c>
    </row>
    <row r="6130" spans="1:3" x14ac:dyDescent="0.25">
      <c r="A6130" t="str">
        <f>"780826244"</f>
        <v>780826244</v>
      </c>
      <c r="B6130" t="str">
        <f>"EHPAD QUIETA"</f>
        <v>EHPAD QUIETA</v>
      </c>
      <c r="C6130" t="s">
        <v>71</v>
      </c>
    </row>
    <row r="6131" spans="1:3" x14ac:dyDescent="0.25">
      <c r="A6131" t="str">
        <f>"780826277"</f>
        <v>780826277</v>
      </c>
      <c r="B6131" t="str">
        <f>"EHPAD LES EAUX VIVES"</f>
        <v>EHPAD LES EAUX VIVES</v>
      </c>
      <c r="C6131" t="s">
        <v>71</v>
      </c>
    </row>
    <row r="6132" spans="1:3" x14ac:dyDescent="0.25">
      <c r="A6132" t="str">
        <f>"780826293"</f>
        <v>780826293</v>
      </c>
      <c r="B6132" t="str">
        <f>"EHPAD LE PRIEURE"</f>
        <v>EHPAD LE PRIEURE</v>
      </c>
      <c r="C6132" t="s">
        <v>71</v>
      </c>
    </row>
    <row r="6133" spans="1:3" x14ac:dyDescent="0.25">
      <c r="A6133" t="str">
        <f>"790000277"</f>
        <v>790000277</v>
      </c>
      <c r="B6133" t="str">
        <f>"EHPAD RESIDENCE DU VAL D'OR"</f>
        <v>EHPAD RESIDENCE DU VAL D'OR</v>
      </c>
      <c r="C6133" t="s">
        <v>70</v>
      </c>
    </row>
    <row r="6134" spans="1:3" x14ac:dyDescent="0.25">
      <c r="A6134" t="str">
        <f>"790000285"</f>
        <v>790000285</v>
      </c>
      <c r="B6134" t="str">
        <f>"EHPAD RESIDENCE DU LAC"</f>
        <v>EHPAD RESIDENCE DU LAC</v>
      </c>
      <c r="C6134" t="s">
        <v>70</v>
      </c>
    </row>
    <row r="6135" spans="1:3" x14ac:dyDescent="0.25">
      <c r="A6135" t="str">
        <f>"790000293"</f>
        <v>790000293</v>
      </c>
      <c r="B6135" t="str">
        <f>"EHPAD RESIDENCE LES QUATRE SAISONS"</f>
        <v>EHPAD RESIDENCE LES QUATRE SAISONS</v>
      </c>
      <c r="C6135" t="s">
        <v>70</v>
      </c>
    </row>
    <row r="6136" spans="1:3" x14ac:dyDescent="0.25">
      <c r="A6136" t="str">
        <f>"790000301"</f>
        <v>790000301</v>
      </c>
      <c r="B6136" t="str">
        <f>"EHPAD LAURIERS ROSES"</f>
        <v>EHPAD LAURIERS ROSES</v>
      </c>
      <c r="C6136" t="s">
        <v>70</v>
      </c>
    </row>
    <row r="6137" spans="1:3" x14ac:dyDescent="0.25">
      <c r="A6137" t="str">
        <f>"790000319"</f>
        <v>790000319</v>
      </c>
      <c r="B6137" t="str">
        <f>"EHPAD RESIDENCE BODIN GRANDMAISON"</f>
        <v>EHPAD RESIDENCE BODIN GRANDMAISON</v>
      </c>
      <c r="C6137" t="s">
        <v>70</v>
      </c>
    </row>
    <row r="6138" spans="1:3" x14ac:dyDescent="0.25">
      <c r="A6138" t="str">
        <f>"790000327"</f>
        <v>790000327</v>
      </c>
      <c r="B6138" t="str">
        <f>"EHPAD RESIDENCE FONDATION BROTHIERS"</f>
        <v>EHPAD RESIDENCE FONDATION BROTHIERS</v>
      </c>
      <c r="C6138" t="s">
        <v>70</v>
      </c>
    </row>
    <row r="6139" spans="1:3" x14ac:dyDescent="0.25">
      <c r="A6139" t="str">
        <f>"790000335"</f>
        <v>790000335</v>
      </c>
      <c r="B6139" t="str">
        <f>"EHPAD RESIDENCE LA MENARDIERE"</f>
        <v>EHPAD RESIDENCE LA MENARDIERE</v>
      </c>
      <c r="C6139" t="s">
        <v>70</v>
      </c>
    </row>
    <row r="6140" spans="1:3" x14ac:dyDescent="0.25">
      <c r="A6140" t="str">
        <f>"790000343"</f>
        <v>790000343</v>
      </c>
      <c r="B6140" t="str">
        <f>"EHPAD RESIDENCE BOUCARD"</f>
        <v>EHPAD RESIDENCE BOUCARD</v>
      </c>
      <c r="C6140" t="s">
        <v>70</v>
      </c>
    </row>
    <row r="6141" spans="1:3" x14ac:dyDescent="0.25">
      <c r="A6141" t="str">
        <f>"790000350"</f>
        <v>790000350</v>
      </c>
      <c r="B6141" t="str">
        <f>"EHPAD RESIDENCE LES MAGNOLIAS"</f>
        <v>EHPAD RESIDENCE LES MAGNOLIAS</v>
      </c>
      <c r="C6141" t="s">
        <v>70</v>
      </c>
    </row>
    <row r="6142" spans="1:3" x14ac:dyDescent="0.25">
      <c r="A6142" t="str">
        <f>"790000368"</f>
        <v>790000368</v>
      </c>
      <c r="B6142" t="str">
        <f>"EHPAD RESIDENCE LES FONTAINES"</f>
        <v>EHPAD RESIDENCE LES FONTAINES</v>
      </c>
      <c r="C6142" t="s">
        <v>70</v>
      </c>
    </row>
    <row r="6143" spans="1:3" x14ac:dyDescent="0.25">
      <c r="A6143" t="str">
        <f>"790000376"</f>
        <v>790000376</v>
      </c>
      <c r="B6143" t="str">
        <f>"EHPAD RESIDENCE L'OREE DES BOIS"</f>
        <v>EHPAD RESIDENCE L'OREE DES BOIS</v>
      </c>
      <c r="C6143" t="s">
        <v>70</v>
      </c>
    </row>
    <row r="6144" spans="1:3" x14ac:dyDescent="0.25">
      <c r="A6144" t="str">
        <f>"790000384"</f>
        <v>790000384</v>
      </c>
      <c r="B6144" t="str">
        <f>"EHPAD - RESIDENCE LA VALETTE"</f>
        <v>EHPAD - RESIDENCE LA VALETTE</v>
      </c>
      <c r="C6144" t="s">
        <v>70</v>
      </c>
    </row>
    <row r="6145" spans="1:3" x14ac:dyDescent="0.25">
      <c r="A6145" t="str">
        <f>"790000392"</f>
        <v>790000392</v>
      </c>
      <c r="B6145" t="str">
        <f>"EHPAD RESIDENCE LES DEUX CHATEAUX"</f>
        <v>EHPAD RESIDENCE LES DEUX CHATEAUX</v>
      </c>
      <c r="C6145" t="s">
        <v>70</v>
      </c>
    </row>
    <row r="6146" spans="1:3" x14ac:dyDescent="0.25">
      <c r="A6146" t="str">
        <f>"790000400"</f>
        <v>790000400</v>
      </c>
      <c r="B6146" t="str">
        <f>"EHPAD RESIDENCE GATEBOURSE"</f>
        <v>EHPAD RESIDENCE GATEBOURSE</v>
      </c>
      <c r="C6146" t="s">
        <v>70</v>
      </c>
    </row>
    <row r="6147" spans="1:3" x14ac:dyDescent="0.25">
      <c r="A6147" t="str">
        <f>"790000418"</f>
        <v>790000418</v>
      </c>
      <c r="B6147" t="str">
        <f>"EHPAD - AU BON ACCUEIL"</f>
        <v>EHPAD - AU BON ACCUEIL</v>
      </c>
      <c r="C6147" t="s">
        <v>70</v>
      </c>
    </row>
    <row r="6148" spans="1:3" x14ac:dyDescent="0.25">
      <c r="A6148" t="str">
        <f>"790000426"</f>
        <v>790000426</v>
      </c>
      <c r="B6148" t="str">
        <f>"EHPAD RESIDENCE LES TROIS CIGOGNES"</f>
        <v>EHPAD RESIDENCE LES TROIS CIGOGNES</v>
      </c>
      <c r="C6148" t="s">
        <v>70</v>
      </c>
    </row>
    <row r="6149" spans="1:3" x14ac:dyDescent="0.25">
      <c r="A6149" t="str">
        <f>"790000442"</f>
        <v>790000442</v>
      </c>
      <c r="B6149" t="str">
        <f>"EHPAD RESIDENCE DU PARC"</f>
        <v>EHPAD RESIDENCE DU PARC</v>
      </c>
      <c r="C6149" t="s">
        <v>70</v>
      </c>
    </row>
    <row r="6150" spans="1:3" x14ac:dyDescent="0.25">
      <c r="A6150" t="str">
        <f>"790000459"</f>
        <v>790000459</v>
      </c>
      <c r="B6150" t="str">
        <f>"EHPAD RESIDENCE LE PIED DU ROY"</f>
        <v>EHPAD RESIDENCE LE PIED DU ROY</v>
      </c>
      <c r="C6150" t="s">
        <v>70</v>
      </c>
    </row>
    <row r="6151" spans="1:3" x14ac:dyDescent="0.25">
      <c r="A6151" t="str">
        <f>"790000475"</f>
        <v>790000475</v>
      </c>
      <c r="B6151" t="str">
        <f>"EHPAD RESIDENCE LA VERGNE ET MANGA"</f>
        <v>EHPAD RESIDENCE LA VERGNE ET MANGA</v>
      </c>
      <c r="C6151" t="s">
        <v>70</v>
      </c>
    </row>
    <row r="6152" spans="1:3" x14ac:dyDescent="0.25">
      <c r="A6152" t="str">
        <f>"790002026"</f>
        <v>790002026</v>
      </c>
      <c r="B6152" t="str">
        <f>"EHPAD RESIDENCE DE LA PLAINE"</f>
        <v>EHPAD RESIDENCE DE LA PLAINE</v>
      </c>
      <c r="C6152" t="s">
        <v>70</v>
      </c>
    </row>
    <row r="6153" spans="1:3" x14ac:dyDescent="0.25">
      <c r="A6153" t="str">
        <f>"790002034"</f>
        <v>790002034</v>
      </c>
      <c r="B6153" t="str">
        <f>"EHPAD RESIDENCE FONDATION DUSSOUIL"</f>
        <v>EHPAD RESIDENCE FONDATION DUSSOUIL</v>
      </c>
      <c r="C6153" t="s">
        <v>70</v>
      </c>
    </row>
    <row r="6154" spans="1:3" x14ac:dyDescent="0.25">
      <c r="A6154" t="str">
        <f>"790002042"</f>
        <v>790002042</v>
      </c>
      <c r="B6154" t="str">
        <f>"EHPAD LES CHANTERELLES"</f>
        <v>EHPAD LES CHANTERELLES</v>
      </c>
      <c r="C6154" t="s">
        <v>70</v>
      </c>
    </row>
    <row r="6155" spans="1:3" x14ac:dyDescent="0.25">
      <c r="A6155" t="str">
        <f>"790002059"</f>
        <v>790002059</v>
      </c>
      <c r="B6155" t="str">
        <f>"EHPAD RESIDENCE DE VALLOIS"</f>
        <v>EHPAD RESIDENCE DE VALLOIS</v>
      </c>
      <c r="C6155" t="s">
        <v>70</v>
      </c>
    </row>
    <row r="6156" spans="1:3" x14ac:dyDescent="0.25">
      <c r="A6156" t="str">
        <f>"790003545"</f>
        <v>790003545</v>
      </c>
      <c r="B6156" t="str">
        <f>"EHPAD RESIDENCE LA CRESSONNIERE"</f>
        <v>EHPAD RESIDENCE LA CRESSONNIERE</v>
      </c>
      <c r="C6156" t="s">
        <v>70</v>
      </c>
    </row>
    <row r="6157" spans="1:3" x14ac:dyDescent="0.25">
      <c r="A6157" t="str">
        <f>"790003552"</f>
        <v>790003552</v>
      </c>
      <c r="B6157" t="str">
        <f>"EHPAD LES COTEAUX DE RIBRAY"</f>
        <v>EHPAD LES COTEAUX DE RIBRAY</v>
      </c>
      <c r="C6157" t="s">
        <v>70</v>
      </c>
    </row>
    <row r="6158" spans="1:3" x14ac:dyDescent="0.25">
      <c r="A6158" t="str">
        <f>"790003560"</f>
        <v>790003560</v>
      </c>
      <c r="B6158" t="str">
        <f>"EHPAD RESIDENCE LE GRAND CHENE"</f>
        <v>EHPAD RESIDENCE LE GRAND CHENE</v>
      </c>
      <c r="C6158" t="s">
        <v>70</v>
      </c>
    </row>
    <row r="6159" spans="1:3" x14ac:dyDescent="0.25">
      <c r="A6159" t="str">
        <f>"790003578"</f>
        <v>790003578</v>
      </c>
      <c r="B6159" t="str">
        <f>"EHPAD RESIDENCE DES TROIS ROIX"</f>
        <v>EHPAD RESIDENCE DES TROIS ROIX</v>
      </c>
      <c r="C6159" t="s">
        <v>70</v>
      </c>
    </row>
    <row r="6160" spans="1:3" x14ac:dyDescent="0.25">
      <c r="A6160" t="str">
        <f>"790003602"</f>
        <v>790003602</v>
      </c>
      <c r="B6160" t="str">
        <f>"EHPAD LES BUISSONNETS"</f>
        <v>EHPAD LES BUISSONNETS</v>
      </c>
      <c r="C6160" t="s">
        <v>70</v>
      </c>
    </row>
    <row r="6161" spans="1:3" x14ac:dyDescent="0.25">
      <c r="A6161" t="str">
        <f>"790003610"</f>
        <v>790003610</v>
      </c>
      <c r="B6161" t="str">
        <f>"EHPAD NOTRE DAME DE PUYRAVEAU"</f>
        <v>EHPAD NOTRE DAME DE PUYRAVEAU</v>
      </c>
      <c r="C6161" t="s">
        <v>70</v>
      </c>
    </row>
    <row r="6162" spans="1:3" x14ac:dyDescent="0.25">
      <c r="A6162" t="str">
        <f>"790003628"</f>
        <v>790003628</v>
      </c>
      <c r="B6162" t="str">
        <f>"EHPAD RESIDENCE MOLIERE"</f>
        <v>EHPAD RESIDENCE MOLIERE</v>
      </c>
      <c r="C6162" t="s">
        <v>70</v>
      </c>
    </row>
    <row r="6163" spans="1:3" x14ac:dyDescent="0.25">
      <c r="A6163" t="str">
        <f>"790003636"</f>
        <v>790003636</v>
      </c>
      <c r="B6163" t="str">
        <f>"PUV - FOYER ST FRANCOIS"</f>
        <v>PUV - FOYER ST FRANCOIS</v>
      </c>
      <c r="C6163" t="s">
        <v>70</v>
      </c>
    </row>
    <row r="6164" spans="1:3" x14ac:dyDescent="0.25">
      <c r="A6164" t="str">
        <f>"790003651"</f>
        <v>790003651</v>
      </c>
      <c r="B6164" t="str">
        <f>"EHPAD - NOTRE MAISON"</f>
        <v>EHPAD - NOTRE MAISON</v>
      </c>
      <c r="C6164" t="s">
        <v>70</v>
      </c>
    </row>
    <row r="6165" spans="1:3" x14ac:dyDescent="0.25">
      <c r="A6165" t="str">
        <f>"790003693"</f>
        <v>790003693</v>
      </c>
      <c r="B6165" t="str">
        <f>"EHPAD RESIDENCE CLODOMIR ARNAUD"</f>
        <v>EHPAD RESIDENCE CLODOMIR ARNAUD</v>
      </c>
      <c r="C6165" t="s">
        <v>70</v>
      </c>
    </row>
    <row r="6166" spans="1:3" x14ac:dyDescent="0.25">
      <c r="A6166" t="str">
        <f>"790003719"</f>
        <v>790003719</v>
      </c>
      <c r="B6166" t="str">
        <f>"EHPAD LES JARDINS DE LA BERONNE"</f>
        <v>EHPAD LES JARDINS DE LA BERONNE</v>
      </c>
      <c r="C6166" t="s">
        <v>70</v>
      </c>
    </row>
    <row r="6167" spans="1:3" x14ac:dyDescent="0.25">
      <c r="A6167" t="str">
        <f>"790003750"</f>
        <v>790003750</v>
      </c>
      <c r="B6167" t="str">
        <f>"EHPAD - RESIDENCE LA CROIX D'HERVAULT"</f>
        <v>EHPAD - RESIDENCE LA CROIX D'HERVAULT</v>
      </c>
      <c r="C6167" t="s">
        <v>70</v>
      </c>
    </row>
    <row r="6168" spans="1:3" x14ac:dyDescent="0.25">
      <c r="A6168" t="str">
        <f>"790003768"</f>
        <v>790003768</v>
      </c>
      <c r="B6168" t="str">
        <f>"EHPAD RESIDENCE BETHANIE"</f>
        <v>EHPAD RESIDENCE BETHANIE</v>
      </c>
      <c r="C6168" t="s">
        <v>70</v>
      </c>
    </row>
    <row r="6169" spans="1:3" x14ac:dyDescent="0.25">
      <c r="A6169" t="str">
        <f>"790003776"</f>
        <v>790003776</v>
      </c>
      <c r="B6169" t="str">
        <f>"EHPAD - RESIDENCE SEVRET"</f>
        <v>EHPAD - RESIDENCE SEVRET</v>
      </c>
      <c r="C6169" t="s">
        <v>70</v>
      </c>
    </row>
    <row r="6170" spans="1:3" x14ac:dyDescent="0.25">
      <c r="A6170" t="str">
        <f>"790006068"</f>
        <v>790006068</v>
      </c>
      <c r="B6170" t="str">
        <f>"EHPAD LE CEDRE BLEU"</f>
        <v>EHPAD LE CEDRE BLEU</v>
      </c>
      <c r="C6170" t="s">
        <v>70</v>
      </c>
    </row>
    <row r="6171" spans="1:3" x14ac:dyDescent="0.25">
      <c r="A6171" t="str">
        <f>"790006092"</f>
        <v>790006092</v>
      </c>
      <c r="B6171" t="str">
        <f>"EHPAD RESIDENCE LA CHANTERIE"</f>
        <v>EHPAD RESIDENCE LA CHANTERIE</v>
      </c>
      <c r="C6171" t="s">
        <v>70</v>
      </c>
    </row>
    <row r="6172" spans="1:3" x14ac:dyDescent="0.25">
      <c r="A6172" t="str">
        <f>"790006100"</f>
        <v>790006100</v>
      </c>
      <c r="B6172" t="str">
        <f>"EHPAD LA CHAGNEE"</f>
        <v>EHPAD LA CHAGNEE</v>
      </c>
      <c r="C6172" t="s">
        <v>70</v>
      </c>
    </row>
    <row r="6173" spans="1:3" x14ac:dyDescent="0.25">
      <c r="A6173" t="str">
        <f>"790006118"</f>
        <v>790006118</v>
      </c>
      <c r="B6173" t="str">
        <f>"EHPAD - CH DE MAULEON"</f>
        <v>EHPAD - CH DE MAULEON</v>
      </c>
      <c r="C6173" t="s">
        <v>70</v>
      </c>
    </row>
    <row r="6174" spans="1:3" x14ac:dyDescent="0.25">
      <c r="A6174" t="str">
        <f>"790006324"</f>
        <v>790006324</v>
      </c>
      <c r="B6174" t="str">
        <f>"EHPAD RESIDENCE DU PETIT LOGIS"</f>
        <v>EHPAD RESIDENCE DU PETIT LOGIS</v>
      </c>
      <c r="C6174" t="s">
        <v>70</v>
      </c>
    </row>
    <row r="6175" spans="1:3" x14ac:dyDescent="0.25">
      <c r="A6175" t="str">
        <f>"790006746"</f>
        <v>790006746</v>
      </c>
      <c r="B6175" t="str">
        <f>"EHPAD RESIDENCE ALIENOR D'AQUITAINE"</f>
        <v>EHPAD RESIDENCE ALIENOR D'AQUITAINE</v>
      </c>
      <c r="C6175" t="s">
        <v>70</v>
      </c>
    </row>
    <row r="6176" spans="1:3" x14ac:dyDescent="0.25">
      <c r="A6176" t="str">
        <f>"790006852"</f>
        <v>790006852</v>
      </c>
      <c r="B6176" t="str">
        <f>"EHPAD LES RIVES DE SEVRE"</f>
        <v>EHPAD LES RIVES DE SEVRE</v>
      </c>
      <c r="C6176" t="s">
        <v>70</v>
      </c>
    </row>
    <row r="6177" spans="1:3" x14ac:dyDescent="0.25">
      <c r="A6177" t="str">
        <f>"790008791"</f>
        <v>790008791</v>
      </c>
      <c r="B6177" t="str">
        <f>"EHPAD RESIDENCE LES BLEUETS"</f>
        <v>EHPAD RESIDENCE LES BLEUETS</v>
      </c>
      <c r="C6177" t="s">
        <v>70</v>
      </c>
    </row>
    <row r="6178" spans="1:3" x14ac:dyDescent="0.25">
      <c r="A6178" t="str">
        <f>"790009864"</f>
        <v>790009864</v>
      </c>
      <c r="B6178" t="str">
        <f>"EHPAD RESIDENCE LE SACRE COEUR"</f>
        <v>EHPAD RESIDENCE LE SACRE COEUR</v>
      </c>
      <c r="C6178" t="s">
        <v>70</v>
      </c>
    </row>
    <row r="6179" spans="1:3" x14ac:dyDescent="0.25">
      <c r="A6179" t="str">
        <f>"790009898"</f>
        <v>790009898</v>
      </c>
      <c r="B6179" t="str">
        <f>"EHPAD RESIDENCE EMILIEN BOUIN"</f>
        <v>EHPAD RESIDENCE EMILIEN BOUIN</v>
      </c>
      <c r="C6179" t="s">
        <v>70</v>
      </c>
    </row>
    <row r="6180" spans="1:3" x14ac:dyDescent="0.25">
      <c r="A6180" t="str">
        <f>"790011530"</f>
        <v>790011530</v>
      </c>
      <c r="B6180" t="str">
        <f>"EHPAD FONDATION HELOISE DUPOND"</f>
        <v>EHPAD FONDATION HELOISE DUPOND</v>
      </c>
      <c r="C6180" t="s">
        <v>70</v>
      </c>
    </row>
    <row r="6181" spans="1:3" x14ac:dyDescent="0.25">
      <c r="A6181" t="str">
        <f>"790011878"</f>
        <v>790011878</v>
      </c>
      <c r="B6181" t="str">
        <f>"PUV MELIORIS LE LOGIS DES FRANCS"</f>
        <v>PUV MELIORIS LE LOGIS DES FRANCS</v>
      </c>
      <c r="C6181" t="s">
        <v>70</v>
      </c>
    </row>
    <row r="6182" spans="1:3" x14ac:dyDescent="0.25">
      <c r="A6182" t="str">
        <f>"790012538"</f>
        <v>790012538</v>
      </c>
      <c r="B6182" t="str">
        <f>"EHPAD RESIDENCE LES CHARMILLES"</f>
        <v>EHPAD RESIDENCE LES CHARMILLES</v>
      </c>
      <c r="C6182" t="s">
        <v>70</v>
      </c>
    </row>
    <row r="6183" spans="1:3" x14ac:dyDescent="0.25">
      <c r="A6183" t="str">
        <f>"790012553"</f>
        <v>790012553</v>
      </c>
      <c r="B6183" t="str">
        <f>"EHPAD RESIDENCE SAINTE-FAMILLE"</f>
        <v>EHPAD RESIDENCE SAINTE-FAMILLE</v>
      </c>
      <c r="C6183" t="s">
        <v>70</v>
      </c>
    </row>
    <row r="6184" spans="1:3" x14ac:dyDescent="0.25">
      <c r="A6184" t="str">
        <f>"790012595"</f>
        <v>790012595</v>
      </c>
      <c r="B6184" t="str">
        <f>"EHPAD RESIDENCE POMPAIRAIN"</f>
        <v>EHPAD RESIDENCE POMPAIRAIN</v>
      </c>
      <c r="C6184" t="s">
        <v>70</v>
      </c>
    </row>
    <row r="6185" spans="1:3" x14ac:dyDescent="0.25">
      <c r="A6185" t="str">
        <f>"790012850"</f>
        <v>790012850</v>
      </c>
      <c r="B6185" t="str">
        <f>"EHPAD RESIDENCE SACRE-COEUR"</f>
        <v>EHPAD RESIDENCE SACRE-COEUR</v>
      </c>
      <c r="C6185" t="s">
        <v>70</v>
      </c>
    </row>
    <row r="6186" spans="1:3" x14ac:dyDescent="0.25">
      <c r="A6186" t="str">
        <f>"790012926"</f>
        <v>790012926</v>
      </c>
      <c r="B6186" t="str">
        <f>"EHPAD RESIDENCE ORPEA L'ANGELIQUE"</f>
        <v>EHPAD RESIDENCE ORPEA L'ANGELIQUE</v>
      </c>
      <c r="C6186" t="s">
        <v>70</v>
      </c>
    </row>
    <row r="6187" spans="1:3" x14ac:dyDescent="0.25">
      <c r="A6187" t="str">
        <f>"790013288"</f>
        <v>790013288</v>
      </c>
      <c r="B6187" t="str">
        <f>"EHPAD - NICOLAS SEVILEANO"</f>
        <v>EHPAD - NICOLAS SEVILEANO</v>
      </c>
      <c r="C6187" t="s">
        <v>70</v>
      </c>
    </row>
    <row r="6188" spans="1:3" x14ac:dyDescent="0.25">
      <c r="A6188" t="str">
        <f>"790013452"</f>
        <v>790013452</v>
      </c>
      <c r="B6188" t="str">
        <f>"EHPAD RESIDENCE ALLONNEAU"</f>
        <v>EHPAD RESIDENCE ALLONNEAU</v>
      </c>
      <c r="C6188" t="s">
        <v>70</v>
      </c>
    </row>
    <row r="6189" spans="1:3" x14ac:dyDescent="0.25">
      <c r="A6189" t="str">
        <f>"790013874"</f>
        <v>790013874</v>
      </c>
      <c r="B6189" t="str">
        <f>"EHPAD L'AGE D'OR"</f>
        <v>EHPAD L'AGE D'OR</v>
      </c>
      <c r="C6189" t="s">
        <v>70</v>
      </c>
    </row>
    <row r="6190" spans="1:3" x14ac:dyDescent="0.25">
      <c r="A6190" t="str">
        <f>"790014294"</f>
        <v>790014294</v>
      </c>
      <c r="B6190" t="str">
        <f>"EHPAD -  NOTRE DAME DES NEIGES"</f>
        <v>EHPAD -  NOTRE DAME DES NEIGES</v>
      </c>
      <c r="C6190" t="s">
        <v>70</v>
      </c>
    </row>
    <row r="6191" spans="1:3" x14ac:dyDescent="0.25">
      <c r="A6191" t="str">
        <f>"790014302"</f>
        <v>790014302</v>
      </c>
      <c r="B6191" t="str">
        <f>"EHPAD LES AVELINES"</f>
        <v>EHPAD LES AVELINES</v>
      </c>
      <c r="C6191" t="s">
        <v>70</v>
      </c>
    </row>
    <row r="6192" spans="1:3" x14ac:dyDescent="0.25">
      <c r="A6192" t="str">
        <f>"790014534"</f>
        <v>790014534</v>
      </c>
      <c r="B6192" t="str">
        <f>"EHPAD RESIDENCE DU PARC"</f>
        <v>EHPAD RESIDENCE DU PARC</v>
      </c>
      <c r="C6192" t="s">
        <v>70</v>
      </c>
    </row>
    <row r="6193" spans="1:3" x14ac:dyDescent="0.25">
      <c r="A6193" t="str">
        <f>"790014708"</f>
        <v>790014708</v>
      </c>
      <c r="B6193" t="str">
        <f>"EHPAD RESIDENCE DES ROCS"</f>
        <v>EHPAD RESIDENCE DES ROCS</v>
      </c>
      <c r="C6193" t="s">
        <v>70</v>
      </c>
    </row>
    <row r="6194" spans="1:3" x14ac:dyDescent="0.25">
      <c r="A6194" t="str">
        <f>"790014724"</f>
        <v>790014724</v>
      </c>
      <c r="B6194" t="str">
        <f>"EHPAD RESIDENCE LES FEUILLANTINES"</f>
        <v>EHPAD RESIDENCE LES FEUILLANTINES</v>
      </c>
      <c r="C6194" t="s">
        <v>70</v>
      </c>
    </row>
    <row r="6195" spans="1:3" x14ac:dyDescent="0.25">
      <c r="A6195" t="str">
        <f>"790014757"</f>
        <v>790014757</v>
      </c>
      <c r="B6195" t="str">
        <f>"EHPAD KORIAN HOME DE L'EBAUPIN"</f>
        <v>EHPAD KORIAN HOME DE L'EBAUPIN</v>
      </c>
      <c r="C6195" t="s">
        <v>70</v>
      </c>
    </row>
    <row r="6196" spans="1:3" x14ac:dyDescent="0.25">
      <c r="A6196" t="str">
        <f>"790015796"</f>
        <v>790015796</v>
      </c>
      <c r="B6196" t="str">
        <f>"EHPAD RESIDENCE LES BABELOTTES"</f>
        <v>EHPAD RESIDENCE LES BABELOTTES</v>
      </c>
      <c r="C6196" t="s">
        <v>70</v>
      </c>
    </row>
    <row r="6197" spans="1:3" x14ac:dyDescent="0.25">
      <c r="A6197" t="str">
        <f>"790015861"</f>
        <v>790015861</v>
      </c>
      <c r="B6197" t="str">
        <f>"EHPAD KORIAN LA VENISE VERTE"</f>
        <v>EHPAD KORIAN LA VENISE VERTE</v>
      </c>
      <c r="C6197" t="s">
        <v>70</v>
      </c>
    </row>
    <row r="6198" spans="1:3" x14ac:dyDescent="0.25">
      <c r="A6198" t="str">
        <f>"790015903"</f>
        <v>790015903</v>
      </c>
      <c r="B6198" t="str">
        <f>"EHPAD RESIDENCE SAINT JOSEPH"</f>
        <v>EHPAD RESIDENCE SAINT JOSEPH</v>
      </c>
      <c r="C6198" t="s">
        <v>70</v>
      </c>
    </row>
    <row r="6199" spans="1:3" x14ac:dyDescent="0.25">
      <c r="A6199" t="str">
        <f>"790016034"</f>
        <v>790016034</v>
      </c>
      <c r="B6199" t="str">
        <f>"EHPAD RESIDENCE LES ABIES"</f>
        <v>EHPAD RESIDENCE LES ABIES</v>
      </c>
      <c r="C6199" t="s">
        <v>70</v>
      </c>
    </row>
    <row r="6200" spans="1:3" x14ac:dyDescent="0.25">
      <c r="A6200" t="str">
        <f>"790016083"</f>
        <v>790016083</v>
      </c>
      <c r="B6200" t="str">
        <f>"EHPAD RESIDENCE LA CARAVELLE"</f>
        <v>EHPAD RESIDENCE LA CARAVELLE</v>
      </c>
      <c r="C6200" t="s">
        <v>70</v>
      </c>
    </row>
    <row r="6201" spans="1:3" x14ac:dyDescent="0.25">
      <c r="A6201" t="str">
        <f>"790016588"</f>
        <v>790016588</v>
      </c>
      <c r="B6201" t="str">
        <f>"EHPAD JARDINS DU CHATEAU D'AIFFRES"</f>
        <v>EHPAD JARDINS DU CHATEAU D'AIFFRES</v>
      </c>
      <c r="C6201" t="s">
        <v>70</v>
      </c>
    </row>
    <row r="6202" spans="1:3" x14ac:dyDescent="0.25">
      <c r="A6202" t="str">
        <f>"790016737"</f>
        <v>790016737</v>
      </c>
      <c r="B6202" t="str">
        <f>"EHPAD LES CHARMES DE FLEURY"</f>
        <v>EHPAD LES CHARMES DE FLEURY</v>
      </c>
      <c r="C6202" t="s">
        <v>70</v>
      </c>
    </row>
    <row r="6203" spans="1:3" x14ac:dyDescent="0.25">
      <c r="A6203" t="str">
        <f>"790018188"</f>
        <v>790018188</v>
      </c>
      <c r="B6203" t="str">
        <f>"EHPAD RESIDENCE LES ORANGERS"</f>
        <v>EHPAD RESIDENCE LES ORANGERS</v>
      </c>
      <c r="C6203" t="s">
        <v>70</v>
      </c>
    </row>
    <row r="6204" spans="1:3" x14ac:dyDescent="0.25">
      <c r="A6204" t="str">
        <f>"790018568"</f>
        <v>790018568</v>
      </c>
      <c r="B6204" t="str">
        <f>"PUV LA ROSELIERE"</f>
        <v>PUV LA ROSELIERE</v>
      </c>
      <c r="C6204" t="s">
        <v>70</v>
      </c>
    </row>
    <row r="6205" spans="1:3" x14ac:dyDescent="0.25">
      <c r="A6205" t="str">
        <f>"800000622"</f>
        <v>800000622</v>
      </c>
      <c r="B6205" t="str">
        <f>"EHPAD EPISSOS OISEMONT"</f>
        <v>EHPAD EPISSOS OISEMONT</v>
      </c>
      <c r="C6205" t="s">
        <v>68</v>
      </c>
    </row>
    <row r="6206" spans="1:3" x14ac:dyDescent="0.25">
      <c r="A6206" t="str">
        <f>"800000630"</f>
        <v>800000630</v>
      </c>
      <c r="B6206" t="str">
        <f>"EHPAD SENEOS MOREUIL"</f>
        <v>EHPAD SENEOS MOREUIL</v>
      </c>
      <c r="C6206" t="s">
        <v>68</v>
      </c>
    </row>
    <row r="6207" spans="1:3" x14ac:dyDescent="0.25">
      <c r="A6207" t="str">
        <f>"800000648"</f>
        <v>800000648</v>
      </c>
      <c r="B6207" t="str">
        <f>"EHPAD CAYEUX-SUR-MER"</f>
        <v>EHPAD CAYEUX-SUR-MER</v>
      </c>
      <c r="C6207" t="s">
        <v>68</v>
      </c>
    </row>
    <row r="6208" spans="1:3" x14ac:dyDescent="0.25">
      <c r="A6208" t="str">
        <f>"800000655"</f>
        <v>800000655</v>
      </c>
      <c r="B6208" t="str">
        <f>"EHPAD SENEOS BRAY-SUR-SOMME"</f>
        <v>EHPAD SENEOS BRAY-SUR-SOMME</v>
      </c>
      <c r="C6208" t="s">
        <v>68</v>
      </c>
    </row>
    <row r="6209" spans="1:3" x14ac:dyDescent="0.25">
      <c r="A6209" t="str">
        <f>"800000739"</f>
        <v>800000739</v>
      </c>
      <c r="B6209" t="str">
        <f>"EHPAD SAINT-RIQUIER"</f>
        <v>EHPAD SAINT-RIQUIER</v>
      </c>
      <c r="C6209" t="s">
        <v>68</v>
      </c>
    </row>
    <row r="6210" spans="1:3" x14ac:dyDescent="0.25">
      <c r="A6210" t="str">
        <f>"800000747"</f>
        <v>800000747</v>
      </c>
      <c r="B6210" t="str">
        <f>"EHPAD NESLE"</f>
        <v>EHPAD NESLE</v>
      </c>
      <c r="C6210" t="s">
        <v>68</v>
      </c>
    </row>
    <row r="6211" spans="1:3" x14ac:dyDescent="0.25">
      <c r="A6211" t="str">
        <f>"800000754"</f>
        <v>800000754</v>
      </c>
      <c r="B6211" t="str">
        <f>"EHPAD CSIM FRIVILLE-ESCARBOTIN"</f>
        <v>EHPAD CSIM FRIVILLE-ESCARBOTIN</v>
      </c>
      <c r="C6211" t="s">
        <v>68</v>
      </c>
    </row>
    <row r="6212" spans="1:3" x14ac:dyDescent="0.25">
      <c r="A6212" t="str">
        <f>"800000762"</f>
        <v>800000762</v>
      </c>
      <c r="B6212" t="str">
        <f>"EHPAD RESIDENCE SAINT-ANTOINE"</f>
        <v>EHPAD RESIDENCE SAINT-ANTOINE</v>
      </c>
      <c r="C6212" t="s">
        <v>68</v>
      </c>
    </row>
    <row r="6213" spans="1:3" x14ac:dyDescent="0.25">
      <c r="A6213" t="str">
        <f>"800000770"</f>
        <v>800000770</v>
      </c>
      <c r="B6213" t="str">
        <f>"EHPAD ATHIES"</f>
        <v>EHPAD ATHIES</v>
      </c>
      <c r="C6213" t="s">
        <v>68</v>
      </c>
    </row>
    <row r="6214" spans="1:3" x14ac:dyDescent="0.25">
      <c r="A6214" t="str">
        <f>"800000796"</f>
        <v>800000796</v>
      </c>
      <c r="B6214" t="str">
        <f>"EHPAD RESIDENCE LA NEUVILLE"</f>
        <v>EHPAD RESIDENCE LA NEUVILLE</v>
      </c>
      <c r="C6214" t="s">
        <v>68</v>
      </c>
    </row>
    <row r="6215" spans="1:3" x14ac:dyDescent="0.25">
      <c r="A6215" t="str">
        <f>"800002206"</f>
        <v>800002206</v>
      </c>
      <c r="B6215" t="str">
        <f>"EHPAD SENEOS WARLOY-BAILLON"</f>
        <v>EHPAD SENEOS WARLOY-BAILLON</v>
      </c>
      <c r="C6215" t="s">
        <v>68</v>
      </c>
    </row>
    <row r="6216" spans="1:3" x14ac:dyDescent="0.25">
      <c r="A6216" t="str">
        <f>"800002255"</f>
        <v>800002255</v>
      </c>
      <c r="B6216" t="str">
        <f>"EHPAD ÉPEHY"</f>
        <v>EHPAD ÉPEHY</v>
      </c>
      <c r="C6216" t="s">
        <v>68</v>
      </c>
    </row>
    <row r="6217" spans="1:3" x14ac:dyDescent="0.25">
      <c r="A6217" t="str">
        <f>"800002289"</f>
        <v>800002289</v>
      </c>
      <c r="B6217" t="str">
        <f>"EHPAD EPISSOS AIRAINES"</f>
        <v>EHPAD EPISSOS AIRAINES</v>
      </c>
      <c r="C6217" t="s">
        <v>68</v>
      </c>
    </row>
    <row r="6218" spans="1:3" x14ac:dyDescent="0.25">
      <c r="A6218" t="str">
        <f>"800002297"</f>
        <v>800002297</v>
      </c>
      <c r="B6218" t="str">
        <f>"EHPAD CRÉCY-EN-PONTIEU"</f>
        <v>EHPAD CRÉCY-EN-PONTIEU</v>
      </c>
      <c r="C6218" t="s">
        <v>68</v>
      </c>
    </row>
    <row r="6219" spans="1:3" x14ac:dyDescent="0.25">
      <c r="A6219" t="str">
        <f>"800002305"</f>
        <v>800002305</v>
      </c>
      <c r="B6219" t="str">
        <f>"EHPAD DOMART-EN-PONTHIEU"</f>
        <v>EHPAD DOMART-EN-PONTHIEU</v>
      </c>
      <c r="C6219" t="s">
        <v>68</v>
      </c>
    </row>
    <row r="6220" spans="1:3" x14ac:dyDescent="0.25">
      <c r="A6220" t="str">
        <f>"800002313"</f>
        <v>800002313</v>
      </c>
      <c r="B6220" t="str">
        <f>"EHPAD SENEOS FOUILLOY"</f>
        <v>EHPAD SENEOS FOUILLOY</v>
      </c>
      <c r="C6220" t="s">
        <v>68</v>
      </c>
    </row>
    <row r="6221" spans="1:3" x14ac:dyDescent="0.25">
      <c r="A6221" t="str">
        <f>"800002321"</f>
        <v>800002321</v>
      </c>
      <c r="B6221" t="str">
        <f>"EHPAD PICQUIGNY"</f>
        <v>EHPAD PICQUIGNY</v>
      </c>
      <c r="C6221" t="s">
        <v>68</v>
      </c>
    </row>
    <row r="6222" spans="1:3" x14ac:dyDescent="0.25">
      <c r="A6222" t="str">
        <f>"800002339"</f>
        <v>800002339</v>
      </c>
      <c r="B6222" t="str">
        <f>"EHPAD SENEOS VILLERS-BRETONNEUX"</f>
        <v>EHPAD SENEOS VILLERS-BRETONNEUX</v>
      </c>
      <c r="C6222" t="s">
        <v>68</v>
      </c>
    </row>
    <row r="6223" spans="1:3" x14ac:dyDescent="0.25">
      <c r="A6223" t="str">
        <f>"800003352"</f>
        <v>800003352</v>
      </c>
      <c r="B6223" t="str">
        <f>"EHPAD ADACA ACHEUX-EN-AMIÉNOIS"</f>
        <v>EHPAD ADACA ACHEUX-EN-AMIÉNOIS</v>
      </c>
      <c r="C6223" t="s">
        <v>68</v>
      </c>
    </row>
    <row r="6224" spans="1:3" x14ac:dyDescent="0.25">
      <c r="A6224" t="str">
        <f>"800003915"</f>
        <v>800003915</v>
      </c>
      <c r="B6224" t="str">
        <f>"EHPAD EPISSOS POIX-DE-PICARDIE"</f>
        <v>EHPAD EPISSOS POIX-DE-PICARDIE</v>
      </c>
      <c r="C6224" t="s">
        <v>68</v>
      </c>
    </row>
    <row r="6225" spans="1:3" x14ac:dyDescent="0.25">
      <c r="A6225" t="str">
        <f>"800003923"</f>
        <v>800003923</v>
      </c>
      <c r="B6225" t="str">
        <f>"EHPAD RESIDENCE MARIE-MARTHE"</f>
        <v>EHPAD RESIDENCE MARIE-MARTHE</v>
      </c>
      <c r="C6225" t="s">
        <v>68</v>
      </c>
    </row>
    <row r="6226" spans="1:3" x14ac:dyDescent="0.25">
      <c r="A6226" t="str">
        <f>"800003998"</f>
        <v>800003998</v>
      </c>
      <c r="B6226" t="str">
        <f>"EHPAD CH ABBEVILLE VAUBAN"</f>
        <v>EHPAD CH ABBEVILLE VAUBAN</v>
      </c>
      <c r="C6226" t="s">
        <v>68</v>
      </c>
    </row>
    <row r="6227" spans="1:3" x14ac:dyDescent="0.25">
      <c r="A6227" t="str">
        <f>"800004004"</f>
        <v>800004004</v>
      </c>
      <c r="B6227" t="str">
        <f>"EHPAD CH CORBIE FOUCART"</f>
        <v>EHPAD CH CORBIE FOUCART</v>
      </c>
      <c r="C6227" t="s">
        <v>68</v>
      </c>
    </row>
    <row r="6228" spans="1:3" x14ac:dyDescent="0.25">
      <c r="A6228" t="str">
        <f>"800004061"</f>
        <v>800004061</v>
      </c>
      <c r="B6228" t="str">
        <f>"EHPAD CHIBS RUE"</f>
        <v>EHPAD CHIBS RUE</v>
      </c>
      <c r="C6228" t="s">
        <v>68</v>
      </c>
    </row>
    <row r="6229" spans="1:3" x14ac:dyDescent="0.25">
      <c r="A6229" t="str">
        <f>"800004160"</f>
        <v>800004160</v>
      </c>
      <c r="B6229" t="str">
        <f>"EHPAD CH PÉRONNE PAUME"</f>
        <v>EHPAD CH PÉRONNE PAUME</v>
      </c>
      <c r="C6229" t="s">
        <v>68</v>
      </c>
    </row>
    <row r="6230" spans="1:3" x14ac:dyDescent="0.25">
      <c r="A6230" t="str">
        <f>"800004186"</f>
        <v>800004186</v>
      </c>
      <c r="B6230" t="str">
        <f>"EHPAD CHIMR MONTDIDIER"</f>
        <v>EHPAD CHIMR MONTDIDIER</v>
      </c>
      <c r="C6230" t="s">
        <v>68</v>
      </c>
    </row>
    <row r="6231" spans="1:3" x14ac:dyDescent="0.25">
      <c r="A6231" t="str">
        <f>"800004228"</f>
        <v>800004228</v>
      </c>
      <c r="B6231" t="str">
        <f>"EHPAD LES QUATRES CHENES"</f>
        <v>EHPAD LES QUATRES CHENES</v>
      </c>
      <c r="C6231" t="s">
        <v>68</v>
      </c>
    </row>
    <row r="6232" spans="1:3" x14ac:dyDescent="0.25">
      <c r="A6232" t="str">
        <f>"800004244"</f>
        <v>800004244</v>
      </c>
      <c r="B6232" t="str">
        <f>"EHPAD ACIS ABBEVILLE"</f>
        <v>EHPAD ACIS ABBEVILLE</v>
      </c>
      <c r="C6232" t="s">
        <v>68</v>
      </c>
    </row>
    <row r="6233" spans="1:3" x14ac:dyDescent="0.25">
      <c r="A6233" t="str">
        <f>"800004251"</f>
        <v>800004251</v>
      </c>
      <c r="B6233" t="str">
        <f>"EHPAD LEON BURCKEL"</f>
        <v>EHPAD LEON BURCKEL</v>
      </c>
      <c r="C6233" t="s">
        <v>68</v>
      </c>
    </row>
    <row r="6234" spans="1:3" x14ac:dyDescent="0.25">
      <c r="A6234" t="str">
        <f>"800004285"</f>
        <v>800004285</v>
      </c>
      <c r="B6234" t="str">
        <f>"RESIDENCE VALLEE DE LA LUCE"</f>
        <v>RESIDENCE VALLEE DE LA LUCE</v>
      </c>
      <c r="C6234" t="s">
        <v>68</v>
      </c>
    </row>
    <row r="6235" spans="1:3" x14ac:dyDescent="0.25">
      <c r="A6235" t="str">
        <f>"800004293"</f>
        <v>800004293</v>
      </c>
      <c r="B6235" t="str">
        <f>"EHPAD KORIAN LA RIVIERE BLEUE"</f>
        <v>EHPAD KORIAN LA RIVIERE BLEUE</v>
      </c>
      <c r="C6235" t="s">
        <v>68</v>
      </c>
    </row>
    <row r="6236" spans="1:3" x14ac:dyDescent="0.25">
      <c r="A6236" t="str">
        <f>"800005456"</f>
        <v>800005456</v>
      </c>
      <c r="B6236" t="str">
        <f>"EHPAD CCAS HORNOY-LE-BOURG"</f>
        <v>EHPAD CCAS HORNOY-LE-BOURG</v>
      </c>
      <c r="C6236" t="s">
        <v>68</v>
      </c>
    </row>
    <row r="6237" spans="1:3" x14ac:dyDescent="0.25">
      <c r="A6237" t="str">
        <f>"800005670"</f>
        <v>800005670</v>
      </c>
      <c r="B6237" t="str">
        <f>"EHPAD UGECAM WOINCOURT"</f>
        <v>EHPAD UGECAM WOINCOURT</v>
      </c>
      <c r="C6237" t="s">
        <v>68</v>
      </c>
    </row>
    <row r="6238" spans="1:3" x14ac:dyDescent="0.25">
      <c r="A6238" t="str">
        <f>"800005712"</f>
        <v>800005712</v>
      </c>
      <c r="B6238" t="str">
        <f>"EHPAD CHIMR ROYE"</f>
        <v>EHPAD CHIMR ROYE</v>
      </c>
      <c r="C6238" t="s">
        <v>68</v>
      </c>
    </row>
    <row r="6239" spans="1:3" x14ac:dyDescent="0.25">
      <c r="A6239" t="str">
        <f>"800006181"</f>
        <v>800006181</v>
      </c>
      <c r="B6239" t="str">
        <f>"EHPAD CH PÉRONNE BERLIOZ"</f>
        <v>EHPAD CH PÉRONNE BERLIOZ</v>
      </c>
      <c r="C6239" t="s">
        <v>68</v>
      </c>
    </row>
    <row r="6240" spans="1:3" x14ac:dyDescent="0.25">
      <c r="A6240" t="str">
        <f>"800006207"</f>
        <v>800006207</v>
      </c>
      <c r="B6240" t="str">
        <f>"EHPAD CHIBS SAINT-VALERY-SUR-SOMME"</f>
        <v>EHPAD CHIBS SAINT-VALERY-SUR-SOMME</v>
      </c>
      <c r="C6240" t="s">
        <v>68</v>
      </c>
    </row>
    <row r="6241" spans="1:3" x14ac:dyDescent="0.25">
      <c r="A6241" t="str">
        <f>"800006215"</f>
        <v>800006215</v>
      </c>
      <c r="B6241" t="str">
        <f>"EHPAD CH HAM"</f>
        <v>EHPAD CH HAM</v>
      </c>
      <c r="C6241" t="s">
        <v>68</v>
      </c>
    </row>
    <row r="6242" spans="1:3" x14ac:dyDescent="0.25">
      <c r="A6242" t="str">
        <f>"800006330"</f>
        <v>800006330</v>
      </c>
      <c r="B6242" t="str">
        <f>"EHPAD CH ALBERT"</f>
        <v>EHPAD CH ALBERT</v>
      </c>
      <c r="C6242" t="s">
        <v>68</v>
      </c>
    </row>
    <row r="6243" spans="1:3" x14ac:dyDescent="0.25">
      <c r="A6243" t="str">
        <f>"800006512"</f>
        <v>800006512</v>
      </c>
      <c r="B6243" t="str">
        <f>"EHPAD CH CORBIE GAMBETTA"</f>
        <v>EHPAD CH CORBIE GAMBETTA</v>
      </c>
      <c r="C6243" t="s">
        <v>68</v>
      </c>
    </row>
    <row r="6244" spans="1:3" x14ac:dyDescent="0.25">
      <c r="A6244" t="str">
        <f>"800007650"</f>
        <v>800007650</v>
      </c>
      <c r="B6244" t="str">
        <f>"EHPAD CH DOULLENS"</f>
        <v>EHPAD CH DOULLENS</v>
      </c>
      <c r="C6244" t="s">
        <v>68</v>
      </c>
    </row>
    <row r="6245" spans="1:3" x14ac:dyDescent="0.25">
      <c r="A6245" t="str">
        <f>"800009052"</f>
        <v>800009052</v>
      </c>
      <c r="B6245" t="str">
        <f>"EHPAD PSP AMIENS"</f>
        <v>EHPAD PSP AMIENS</v>
      </c>
      <c r="C6245" t="s">
        <v>68</v>
      </c>
    </row>
    <row r="6246" spans="1:3" x14ac:dyDescent="0.25">
      <c r="A6246" t="str">
        <f>"800009375"</f>
        <v>800009375</v>
      </c>
      <c r="B6246" t="str">
        <f>"EHPAD SENEOS LONGUEAU"</f>
        <v>EHPAD SENEOS LONGUEAU</v>
      </c>
      <c r="C6246" t="s">
        <v>68</v>
      </c>
    </row>
    <row r="6247" spans="1:3" x14ac:dyDescent="0.25">
      <c r="A6247" t="str">
        <f>"800010282"</f>
        <v>800010282</v>
      </c>
      <c r="B6247" t="str">
        <f>"EHPAD CHATEAU DE MONTIERES"</f>
        <v>EHPAD CHATEAU DE MONTIERES</v>
      </c>
      <c r="C6247" t="s">
        <v>68</v>
      </c>
    </row>
    <row r="6248" spans="1:3" x14ac:dyDescent="0.25">
      <c r="A6248" t="str">
        <f>"800010472"</f>
        <v>800010472</v>
      </c>
      <c r="B6248" t="str">
        <f>"EHPAD KORIAN AMIENS"</f>
        <v>EHPAD KORIAN AMIENS</v>
      </c>
      <c r="C6248" t="s">
        <v>68</v>
      </c>
    </row>
    <row r="6249" spans="1:3" x14ac:dyDescent="0.25">
      <c r="A6249" t="str">
        <f>"800010571"</f>
        <v>800010571</v>
      </c>
      <c r="B6249" t="str">
        <f>"EHPAD ORPEA PÉRONNE"</f>
        <v>EHPAD ORPEA PÉRONNE</v>
      </c>
      <c r="C6249" t="s">
        <v>68</v>
      </c>
    </row>
    <row r="6250" spans="1:3" x14ac:dyDescent="0.25">
      <c r="A6250" t="str">
        <f>"800010589"</f>
        <v>800010589</v>
      </c>
      <c r="B6250" t="str">
        <f>"EHPAD LES JARDINS D'HENRIVILLE"</f>
        <v>EHPAD LES JARDINS D'HENRIVILLE</v>
      </c>
      <c r="C6250" t="s">
        <v>68</v>
      </c>
    </row>
    <row r="6251" spans="1:3" x14ac:dyDescent="0.25">
      <c r="A6251" t="str">
        <f>"800010597"</f>
        <v>800010597</v>
      </c>
      <c r="B6251" t="str">
        <f>"EHPAD CYBÈLE FORT-MAHON-PLAGE"</f>
        <v>EHPAD CYBÈLE FORT-MAHON-PLAGE</v>
      </c>
      <c r="C6251" t="s">
        <v>68</v>
      </c>
    </row>
    <row r="6252" spans="1:3" x14ac:dyDescent="0.25">
      <c r="A6252" t="str">
        <f>"800014904"</f>
        <v>800014904</v>
      </c>
      <c r="B6252" t="str">
        <f>"EHPAD ST JOSEPH CAGNY"</f>
        <v>EHPAD ST JOSEPH CAGNY</v>
      </c>
      <c r="C6252" t="s">
        <v>68</v>
      </c>
    </row>
    <row r="6253" spans="1:3" x14ac:dyDescent="0.25">
      <c r="A6253" t="str">
        <f>"800015505"</f>
        <v>800015505</v>
      </c>
      <c r="B6253" t="str">
        <f>"EHPAD PCP ALBERT"</f>
        <v>EHPAD PCP ALBERT</v>
      </c>
      <c r="C6253" t="s">
        <v>68</v>
      </c>
    </row>
    <row r="6254" spans="1:3" x14ac:dyDescent="0.25">
      <c r="A6254" t="str">
        <f>"800016990"</f>
        <v>800016990</v>
      </c>
      <c r="B6254" t="str">
        <f>"EHPAD CHU AMIENS"</f>
        <v>EHPAD CHU AMIENS</v>
      </c>
      <c r="C6254" t="s">
        <v>68</v>
      </c>
    </row>
    <row r="6255" spans="1:3" x14ac:dyDescent="0.25">
      <c r="A6255" t="str">
        <f>"800017204"</f>
        <v>800017204</v>
      </c>
      <c r="B6255" t="str">
        <f>"EHPAD KORIAN GAMACHES"</f>
        <v>EHPAD KORIAN GAMACHES</v>
      </c>
      <c r="C6255" t="s">
        <v>68</v>
      </c>
    </row>
    <row r="6256" spans="1:3" x14ac:dyDescent="0.25">
      <c r="A6256" t="str">
        <f>"800017329"</f>
        <v>800017329</v>
      </c>
      <c r="B6256" t="str">
        <f>"EHPAD CH ABBEVILLE DOULLENS"</f>
        <v>EHPAD CH ABBEVILLE DOULLENS</v>
      </c>
      <c r="C6256" t="s">
        <v>68</v>
      </c>
    </row>
    <row r="6257" spans="1:3" x14ac:dyDescent="0.25">
      <c r="A6257" t="str">
        <f>"800020422"</f>
        <v>800020422</v>
      </c>
      <c r="B6257" t="str">
        <f>"EHPAD PAUL CLAUDEL"</f>
        <v>EHPAD PAUL CLAUDEL</v>
      </c>
      <c r="C6257" t="s">
        <v>68</v>
      </c>
    </row>
    <row r="6258" spans="1:3" x14ac:dyDescent="0.25">
      <c r="A6258" t="str">
        <f>"810000133"</f>
        <v>810000133</v>
      </c>
      <c r="B6258" t="str">
        <f>"EHPAD LA CHEVALIERE"</f>
        <v>EHPAD LA CHEVALIERE</v>
      </c>
      <c r="C6258" t="s">
        <v>77</v>
      </c>
    </row>
    <row r="6259" spans="1:3" x14ac:dyDescent="0.25">
      <c r="A6259" t="str">
        <f>"810000364"</f>
        <v>810000364</v>
      </c>
      <c r="B6259" t="str">
        <f>"EHPAD LE PARC ALBI"</f>
        <v>EHPAD LE PARC ALBI</v>
      </c>
      <c r="C6259" t="s">
        <v>77</v>
      </c>
    </row>
    <row r="6260" spans="1:3" x14ac:dyDescent="0.25">
      <c r="A6260" t="str">
        <f>"810000414"</f>
        <v>810000414</v>
      </c>
      <c r="B6260" t="str">
        <f>"EHPAD SAINT VINCENT DE PAUL LACAUNE"</f>
        <v>EHPAD SAINT VINCENT DE PAUL LACAUNE</v>
      </c>
      <c r="C6260" t="s">
        <v>77</v>
      </c>
    </row>
    <row r="6261" spans="1:3" x14ac:dyDescent="0.25">
      <c r="A6261" t="str">
        <f>"810000463"</f>
        <v>810000463</v>
      </c>
      <c r="B6261" t="str">
        <f>"EHPAD LES ARCADES"</f>
        <v>EHPAD LES ARCADES</v>
      </c>
      <c r="C6261" t="s">
        <v>77</v>
      </c>
    </row>
    <row r="6262" spans="1:3" x14ac:dyDescent="0.25">
      <c r="A6262" t="str">
        <f>"810001479"</f>
        <v>810001479</v>
      </c>
      <c r="B6262" t="str">
        <f>"EHPAD BELLEVUE"</f>
        <v>EHPAD BELLEVUE</v>
      </c>
      <c r="C6262" t="s">
        <v>77</v>
      </c>
    </row>
    <row r="6263" spans="1:3" x14ac:dyDescent="0.25">
      <c r="A6263" t="str">
        <f>"810001867"</f>
        <v>810001867</v>
      </c>
      <c r="B6263" t="str">
        <f>"EHPAD LE PRE FLEURI"</f>
        <v>EHPAD LE PRE FLEURI</v>
      </c>
      <c r="C6263" t="s">
        <v>77</v>
      </c>
    </row>
    <row r="6264" spans="1:3" x14ac:dyDescent="0.25">
      <c r="A6264" t="str">
        <f>"810001982"</f>
        <v>810001982</v>
      </c>
      <c r="B6264" t="str">
        <f>"EHPAD RESIDENCE DU MAILHOL"</f>
        <v>EHPAD RESIDENCE DU MAILHOL</v>
      </c>
      <c r="C6264" t="s">
        <v>77</v>
      </c>
    </row>
    <row r="6265" spans="1:3" x14ac:dyDescent="0.25">
      <c r="A6265" t="str">
        <f>"810002089"</f>
        <v>810002089</v>
      </c>
      <c r="B6265" t="str">
        <f>"EHPAD LES TERRASSES DU TARN"</f>
        <v>EHPAD LES TERRASSES DU TARN</v>
      </c>
      <c r="C6265" t="s">
        <v>77</v>
      </c>
    </row>
    <row r="6266" spans="1:3" x14ac:dyDescent="0.25">
      <c r="A6266" t="str">
        <f>"810002097"</f>
        <v>810002097</v>
      </c>
      <c r="B6266" t="str">
        <f>"EHPAD DEPARTEMENTAL ST PIERRE TRIVISY"</f>
        <v>EHPAD DEPARTEMENTAL ST PIERRE TRIVISY</v>
      </c>
      <c r="C6266" t="s">
        <v>77</v>
      </c>
    </row>
    <row r="6267" spans="1:3" x14ac:dyDescent="0.25">
      <c r="A6267" t="str">
        <f>"810002469"</f>
        <v>810002469</v>
      </c>
      <c r="B6267" t="str">
        <f>"EHPAD LES JARDINS D'ESCUDIE"</f>
        <v>EHPAD LES JARDINS D'ESCUDIE</v>
      </c>
      <c r="C6267" t="s">
        <v>77</v>
      </c>
    </row>
    <row r="6268" spans="1:3" x14ac:dyDescent="0.25">
      <c r="A6268" t="str">
        <f>"810003418"</f>
        <v>810003418</v>
      </c>
      <c r="B6268" t="str">
        <f>"EHPAD LA RENAUDIE CH ALBI"</f>
        <v>EHPAD LA RENAUDIE CH ALBI</v>
      </c>
      <c r="C6268" t="s">
        <v>77</v>
      </c>
    </row>
    <row r="6269" spans="1:3" x14ac:dyDescent="0.25">
      <c r="A6269" t="str">
        <f>"810003590"</f>
        <v>810003590</v>
      </c>
      <c r="B6269" t="str">
        <f>"EHPAD RESIDENCE DU BOSC"</f>
        <v>EHPAD RESIDENCE DU BOSC</v>
      </c>
      <c r="C6269" t="s">
        <v>77</v>
      </c>
    </row>
    <row r="6270" spans="1:3" x14ac:dyDescent="0.25">
      <c r="A6270" t="str">
        <f>"810003608"</f>
        <v>810003608</v>
      </c>
      <c r="B6270" t="str">
        <f>"EHPAD LA MAZIERE"</f>
        <v>EHPAD LA MAZIERE</v>
      </c>
      <c r="C6270" t="s">
        <v>77</v>
      </c>
    </row>
    <row r="6271" spans="1:3" x14ac:dyDescent="0.25">
      <c r="A6271" t="str">
        <f>"810003616"</f>
        <v>810003616</v>
      </c>
      <c r="B6271" t="str">
        <f>"EHPAD RESIDENCE LES MOULINS"</f>
        <v>EHPAD RESIDENCE LES MOULINS</v>
      </c>
      <c r="C6271" t="s">
        <v>77</v>
      </c>
    </row>
    <row r="6272" spans="1:3" x14ac:dyDescent="0.25">
      <c r="A6272" t="str">
        <f>"810003624"</f>
        <v>810003624</v>
      </c>
      <c r="B6272" t="str">
        <f>"EHPAD RENE LENCOU"</f>
        <v>EHPAD RENE LENCOU</v>
      </c>
      <c r="C6272" t="s">
        <v>77</v>
      </c>
    </row>
    <row r="6273" spans="1:3" x14ac:dyDescent="0.25">
      <c r="A6273" t="str">
        <f>"810003632"</f>
        <v>810003632</v>
      </c>
      <c r="B6273" t="str">
        <f>"EHPAD RESIDENCE DU PARC ST AMANS SOULT"</f>
        <v>EHPAD RESIDENCE DU PARC ST AMANS SOULT</v>
      </c>
      <c r="C6273" t="s">
        <v>77</v>
      </c>
    </row>
    <row r="6274" spans="1:3" x14ac:dyDescent="0.25">
      <c r="A6274" t="str">
        <f>"810003640"</f>
        <v>810003640</v>
      </c>
      <c r="B6274" t="str">
        <f>"EHPAD RESIDENCE CHEZ NOUS"</f>
        <v>EHPAD RESIDENCE CHEZ NOUS</v>
      </c>
      <c r="C6274" t="s">
        <v>77</v>
      </c>
    </row>
    <row r="6275" spans="1:3" x14ac:dyDescent="0.25">
      <c r="A6275" t="str">
        <f>"810003657"</f>
        <v>810003657</v>
      </c>
      <c r="B6275" t="str">
        <f>"EHPAD PLAISANCE"</f>
        <v>EHPAD PLAISANCE</v>
      </c>
      <c r="C6275" t="s">
        <v>77</v>
      </c>
    </row>
    <row r="6276" spans="1:3" x14ac:dyDescent="0.25">
      <c r="A6276" t="str">
        <f>"810003764"</f>
        <v>810003764</v>
      </c>
      <c r="B6276" t="str">
        <f>"EHPAD 'SAINT VINCENT DE PAUL'"</f>
        <v>EHPAD 'SAINT VINCENT DE PAUL'</v>
      </c>
      <c r="C6276" t="s">
        <v>77</v>
      </c>
    </row>
    <row r="6277" spans="1:3" x14ac:dyDescent="0.25">
      <c r="A6277" t="str">
        <f>"810003772"</f>
        <v>810003772</v>
      </c>
      <c r="B6277" t="str">
        <f>"EHPAD SAINT JOSEPH BRASSAC"</f>
        <v>EHPAD SAINT JOSEPH BRASSAC</v>
      </c>
      <c r="C6277" t="s">
        <v>77</v>
      </c>
    </row>
    <row r="6278" spans="1:3" x14ac:dyDescent="0.25">
      <c r="A6278" t="str">
        <f>"810003780"</f>
        <v>810003780</v>
      </c>
      <c r="B6278" t="str">
        <f>"EHPAD LE REFUGE PROTESTANT CASTRES"</f>
        <v>EHPAD LE REFUGE PROTESTANT CASTRES</v>
      </c>
      <c r="C6278" t="s">
        <v>77</v>
      </c>
    </row>
    <row r="6279" spans="1:3" x14ac:dyDescent="0.25">
      <c r="A6279" t="str">
        <f>"810003798"</f>
        <v>810003798</v>
      </c>
      <c r="B6279" t="str">
        <f>"EHPAD L'OUSTAL D'EN THIBAUD"</f>
        <v>EHPAD L'OUSTAL D'EN THIBAUD</v>
      </c>
      <c r="C6279" t="s">
        <v>77</v>
      </c>
    </row>
    <row r="6280" spans="1:3" x14ac:dyDescent="0.25">
      <c r="A6280" t="str">
        <f>"810003806"</f>
        <v>810003806</v>
      </c>
      <c r="B6280" t="str">
        <f>"EHPAD SAINT JOSEPH MAZAMET"</f>
        <v>EHPAD SAINT JOSEPH MAZAMET</v>
      </c>
      <c r="C6280" t="s">
        <v>77</v>
      </c>
    </row>
    <row r="6281" spans="1:3" x14ac:dyDescent="0.25">
      <c r="A6281" t="str">
        <f>"810003814"</f>
        <v>810003814</v>
      </c>
      <c r="B6281" t="str">
        <f>"EHPAD F.JOHN BOST/LE REFUGE PROTESTANT"</f>
        <v>EHPAD F.JOHN BOST/LE REFUGE PROTESTANT</v>
      </c>
      <c r="C6281" t="s">
        <v>77</v>
      </c>
    </row>
    <row r="6282" spans="1:3" x14ac:dyDescent="0.25">
      <c r="A6282" t="str">
        <f>"810003822"</f>
        <v>810003822</v>
      </c>
      <c r="B6282" t="str">
        <f>"EHPAD LE CLOS DE SILOË"</f>
        <v>EHPAD LE CLOS DE SILOË</v>
      </c>
      <c r="C6282" t="s">
        <v>77</v>
      </c>
    </row>
    <row r="6283" spans="1:3" x14ac:dyDescent="0.25">
      <c r="A6283" t="str">
        <f>"810003855"</f>
        <v>810003855</v>
      </c>
      <c r="B6283" t="str">
        <f>"EHPAD SAINT FRANCOIS CADALEN"</f>
        <v>EHPAD SAINT FRANCOIS CADALEN</v>
      </c>
      <c r="C6283" t="s">
        <v>77</v>
      </c>
    </row>
    <row r="6284" spans="1:3" x14ac:dyDescent="0.25">
      <c r="A6284" t="str">
        <f>"810003889"</f>
        <v>810003889</v>
      </c>
      <c r="B6284" t="str">
        <f>"EHPAD LES QUIETUDES"</f>
        <v>EHPAD LES QUIETUDES</v>
      </c>
      <c r="C6284" t="s">
        <v>77</v>
      </c>
    </row>
    <row r="6285" spans="1:3" x14ac:dyDescent="0.25">
      <c r="A6285" t="str">
        <f>"810003897"</f>
        <v>810003897</v>
      </c>
      <c r="B6285" t="str">
        <f>"EHPAD SAINT VINCENT SAINTE CROIX"</f>
        <v>EHPAD SAINT VINCENT SAINTE CROIX</v>
      </c>
      <c r="C6285" t="s">
        <v>77</v>
      </c>
    </row>
    <row r="6286" spans="1:3" x14ac:dyDescent="0.25">
      <c r="A6286" t="str">
        <f>"810003913"</f>
        <v>810003913</v>
      </c>
      <c r="B6286" t="str">
        <f>"EHPAD SAINT JOSEPH VALENCE D'ALBI"</f>
        <v>EHPAD SAINT JOSEPH VALENCE D'ALBI</v>
      </c>
      <c r="C6286" t="s">
        <v>77</v>
      </c>
    </row>
    <row r="6287" spans="1:3" x14ac:dyDescent="0.25">
      <c r="A6287" t="str">
        <f>"810003921"</f>
        <v>810003921</v>
      </c>
      <c r="B6287" t="str">
        <f>"EHPAD NOTRE DAME DE TOUSCAYRATS"</f>
        <v>EHPAD NOTRE DAME DE TOUSCAYRATS</v>
      </c>
      <c r="C6287" t="s">
        <v>77</v>
      </c>
    </row>
    <row r="6288" spans="1:3" x14ac:dyDescent="0.25">
      <c r="A6288" t="str">
        <f>"810004044"</f>
        <v>810004044</v>
      </c>
      <c r="B6288" t="str">
        <f>"EHPAD LA MERIDIENNE"</f>
        <v>EHPAD LA MERIDIENNE</v>
      </c>
      <c r="C6288" t="s">
        <v>77</v>
      </c>
    </row>
    <row r="6289" spans="1:3" x14ac:dyDescent="0.25">
      <c r="A6289" t="str">
        <f>"810004051"</f>
        <v>810004051</v>
      </c>
      <c r="B6289" t="str">
        <f>"EHPAD RESIDENCE BEL AIR"</f>
        <v>EHPAD RESIDENCE BEL AIR</v>
      </c>
      <c r="C6289" t="s">
        <v>77</v>
      </c>
    </row>
    <row r="6290" spans="1:3" x14ac:dyDescent="0.25">
      <c r="A6290" t="str">
        <f>"810004218"</f>
        <v>810004218</v>
      </c>
      <c r="B6290" t="str">
        <f>"EHPAD SAINT ANDRE"</f>
        <v>EHPAD SAINT ANDRE</v>
      </c>
      <c r="C6290" t="s">
        <v>77</v>
      </c>
    </row>
    <row r="6291" spans="1:3" x14ac:dyDescent="0.25">
      <c r="A6291" t="str">
        <f>"810004796"</f>
        <v>810004796</v>
      </c>
      <c r="B6291" t="str">
        <f>"EHPAD RESIDENCE ROUANET ICHE"</f>
        <v>EHPAD RESIDENCE ROUANET ICHE</v>
      </c>
      <c r="C6291" t="s">
        <v>77</v>
      </c>
    </row>
    <row r="6292" spans="1:3" x14ac:dyDescent="0.25">
      <c r="A6292" t="str">
        <f>"810004804"</f>
        <v>810004804</v>
      </c>
      <c r="B6292" t="str">
        <f>"EHPAD KORIAN MAISON D'EMILIENNE"</f>
        <v>EHPAD KORIAN MAISON D'EMILIENNE</v>
      </c>
      <c r="C6292" t="s">
        <v>77</v>
      </c>
    </row>
    <row r="6293" spans="1:3" x14ac:dyDescent="0.25">
      <c r="A6293" t="str">
        <f>"810007328"</f>
        <v>810007328</v>
      </c>
      <c r="B6293" t="str">
        <f>"EHPAD RESIDENCE EMILIE DE VILLENEUVE"</f>
        <v>EHPAD RESIDENCE EMILIE DE VILLENEUVE</v>
      </c>
      <c r="C6293" t="s">
        <v>77</v>
      </c>
    </row>
    <row r="6294" spans="1:3" x14ac:dyDescent="0.25">
      <c r="A6294" t="str">
        <f>"810007708"</f>
        <v>810007708</v>
      </c>
      <c r="B6294" t="str">
        <f>"EHPAD RESIDENCE LES 7 FONTAINES"</f>
        <v>EHPAD RESIDENCE LES 7 FONTAINES</v>
      </c>
      <c r="C6294" t="s">
        <v>77</v>
      </c>
    </row>
    <row r="6295" spans="1:3" x14ac:dyDescent="0.25">
      <c r="A6295" t="str">
        <f>"810007948"</f>
        <v>810007948</v>
      </c>
      <c r="B6295" t="str">
        <f>"EHPAD LES MONGES CHPA  CASTRES-MAZAMET"</f>
        <v>EHPAD LES MONGES CHPA  CASTRES-MAZAMET</v>
      </c>
      <c r="C6295" t="s">
        <v>77</v>
      </c>
    </row>
    <row r="6296" spans="1:3" x14ac:dyDescent="0.25">
      <c r="A6296" t="str">
        <f>"810008219"</f>
        <v>810008219</v>
      </c>
      <c r="B6296" t="str">
        <f>"EHPAD LE DOMAINE"</f>
        <v>EHPAD LE DOMAINE</v>
      </c>
      <c r="C6296" t="s">
        <v>77</v>
      </c>
    </row>
    <row r="6297" spans="1:3" x14ac:dyDescent="0.25">
      <c r="A6297" t="str">
        <f>"810009472"</f>
        <v>810009472</v>
      </c>
      <c r="B6297" t="str">
        <f>"EHPAD LA PASTELLIERE"</f>
        <v>EHPAD LA PASTELLIERE</v>
      </c>
      <c r="C6297" t="s">
        <v>77</v>
      </c>
    </row>
    <row r="6298" spans="1:3" x14ac:dyDescent="0.25">
      <c r="A6298" t="str">
        <f>"810009597"</f>
        <v>810009597</v>
      </c>
      <c r="B6298" t="str">
        <f>"EHPAD LES CHARMILLES"</f>
        <v>EHPAD LES CHARMILLES</v>
      </c>
      <c r="C6298" t="s">
        <v>77</v>
      </c>
    </row>
    <row r="6299" spans="1:3" x14ac:dyDescent="0.25">
      <c r="A6299" t="str">
        <f>"810009613"</f>
        <v>810009613</v>
      </c>
      <c r="B6299" t="str">
        <f>"EHPAD LA GREZE"</f>
        <v>EHPAD LA GREZE</v>
      </c>
      <c r="C6299" t="s">
        <v>77</v>
      </c>
    </row>
    <row r="6300" spans="1:3" x14ac:dyDescent="0.25">
      <c r="A6300" t="str">
        <f>"810010173"</f>
        <v>810010173</v>
      </c>
      <c r="B6300" t="str">
        <f>"EHPAD RESIDENCE TERRASSES DU PASTEL"</f>
        <v>EHPAD RESIDENCE TERRASSES DU PASTEL</v>
      </c>
      <c r="C6300" t="s">
        <v>77</v>
      </c>
    </row>
    <row r="6301" spans="1:3" x14ac:dyDescent="0.25">
      <c r="A6301" t="str">
        <f>"810010223"</f>
        <v>810010223</v>
      </c>
      <c r="B6301" t="str">
        <f>"EHPAD LES JARDINS DE JOUVENCE"</f>
        <v>EHPAD LES JARDINS DE JOUVENCE</v>
      </c>
      <c r="C6301" t="s">
        <v>77</v>
      </c>
    </row>
    <row r="6302" spans="1:3" x14ac:dyDescent="0.25">
      <c r="A6302" t="str">
        <f>"810010348"</f>
        <v>810010348</v>
      </c>
      <c r="B6302" t="str">
        <f>"EHPAD FILIERIS DE PAMPELONNE"</f>
        <v>EHPAD FILIERIS DE PAMPELONNE</v>
      </c>
      <c r="C6302" t="s">
        <v>77</v>
      </c>
    </row>
    <row r="6303" spans="1:3" x14ac:dyDescent="0.25">
      <c r="A6303" t="str">
        <f>"810099747"</f>
        <v>810099747</v>
      </c>
      <c r="B6303" t="str">
        <f>"EHPAD L'HERMITAGE"</f>
        <v>EHPAD L'HERMITAGE</v>
      </c>
      <c r="C6303" t="s">
        <v>77</v>
      </c>
    </row>
    <row r="6304" spans="1:3" x14ac:dyDescent="0.25">
      <c r="A6304" t="str">
        <f>"810099762"</f>
        <v>810099762</v>
      </c>
      <c r="B6304" t="str">
        <f>"EHPAD DU VAURAIS"</f>
        <v>EHPAD DU VAURAIS</v>
      </c>
      <c r="C6304" t="s">
        <v>77</v>
      </c>
    </row>
    <row r="6305" spans="1:3" x14ac:dyDescent="0.25">
      <c r="A6305" t="str">
        <f>"810099788"</f>
        <v>810099788</v>
      </c>
      <c r="B6305" t="str">
        <f>"EHPAD VILLEGIALE SAINT JACQUES CHPA"</f>
        <v>EHPAD VILLEGIALE SAINT JACQUES CHPA</v>
      </c>
      <c r="C6305" t="s">
        <v>77</v>
      </c>
    </row>
    <row r="6306" spans="1:3" x14ac:dyDescent="0.25">
      <c r="A6306" t="str">
        <f>"810099804"</f>
        <v>810099804</v>
      </c>
      <c r="B6306" t="str">
        <f>"EHPAD LOUISE ANCEAU"</f>
        <v>EHPAD LOUISE ANCEAU</v>
      </c>
      <c r="C6306" t="s">
        <v>77</v>
      </c>
    </row>
    <row r="6307" spans="1:3" x14ac:dyDescent="0.25">
      <c r="A6307" t="str">
        <f>"810099820"</f>
        <v>810099820</v>
      </c>
      <c r="B6307" t="str">
        <f>"EHPAD LE COUSTIL"</f>
        <v>EHPAD LE COUSTIL</v>
      </c>
      <c r="C6307" t="s">
        <v>77</v>
      </c>
    </row>
    <row r="6308" spans="1:3" x14ac:dyDescent="0.25">
      <c r="A6308" t="str">
        <f>"810100206"</f>
        <v>810100206</v>
      </c>
      <c r="B6308" t="str">
        <f>"EHPAD RESIDENCE DU MIDI CHPA"</f>
        <v>EHPAD RESIDENCE DU MIDI CHPA</v>
      </c>
      <c r="C6308" t="s">
        <v>77</v>
      </c>
    </row>
    <row r="6309" spans="1:3" x14ac:dyDescent="0.25">
      <c r="A6309" t="str">
        <f>"810100420"</f>
        <v>810100420</v>
      </c>
      <c r="B6309" t="str">
        <f>"EHPAD SAINT JEAN"</f>
        <v>EHPAD SAINT JEAN</v>
      </c>
      <c r="C6309" t="s">
        <v>77</v>
      </c>
    </row>
    <row r="6310" spans="1:3" x14ac:dyDescent="0.25">
      <c r="A6310" t="str">
        <f>"810100446"</f>
        <v>810100446</v>
      </c>
      <c r="B6310" t="str">
        <f>"EHPAD CABIRAC"</f>
        <v>EHPAD CABIRAC</v>
      </c>
      <c r="C6310" t="s">
        <v>77</v>
      </c>
    </row>
    <row r="6311" spans="1:3" x14ac:dyDescent="0.25">
      <c r="A6311" t="str">
        <f>"810100552"</f>
        <v>810100552</v>
      </c>
      <c r="B6311" t="str">
        <f>"EHPAD RESIDENCE DU PALAIS"</f>
        <v>EHPAD RESIDENCE DU PALAIS</v>
      </c>
      <c r="C6311" t="s">
        <v>77</v>
      </c>
    </row>
    <row r="6312" spans="1:3" x14ac:dyDescent="0.25">
      <c r="A6312" t="str">
        <f>"810100776"</f>
        <v>810100776</v>
      </c>
      <c r="B6312" t="str">
        <f>"EHPAD AGIR CASTRES"</f>
        <v>EHPAD AGIR CASTRES</v>
      </c>
      <c r="C6312" t="s">
        <v>77</v>
      </c>
    </row>
    <row r="6313" spans="1:3" x14ac:dyDescent="0.25">
      <c r="A6313" t="str">
        <f>"810100867"</f>
        <v>810100867</v>
      </c>
      <c r="B6313" t="str">
        <f>"EHPAD SAINTE AGNES"</f>
        <v>EHPAD SAINTE AGNES</v>
      </c>
      <c r="C6313" t="s">
        <v>77</v>
      </c>
    </row>
    <row r="6314" spans="1:3" x14ac:dyDescent="0.25">
      <c r="A6314" t="str">
        <f>"810100958"</f>
        <v>810100958</v>
      </c>
      <c r="B6314" t="str">
        <f>"EHPAD BELCANTOU"</f>
        <v>EHPAD BELCANTOU</v>
      </c>
      <c r="C6314" t="s">
        <v>77</v>
      </c>
    </row>
    <row r="6315" spans="1:3" x14ac:dyDescent="0.25">
      <c r="A6315" t="str">
        <f>"810100974"</f>
        <v>810100974</v>
      </c>
      <c r="B6315" t="str">
        <f>"EHPAD KORIAN LES BLES D'OR"</f>
        <v>EHPAD KORIAN LES BLES D'OR</v>
      </c>
      <c r="C6315" t="s">
        <v>77</v>
      </c>
    </row>
    <row r="6316" spans="1:3" x14ac:dyDescent="0.25">
      <c r="A6316" t="str">
        <f>"810101089"</f>
        <v>810101089</v>
      </c>
      <c r="B6316" t="str">
        <f>"EHPAD LES MIMOSAS ALBI"</f>
        <v>EHPAD LES MIMOSAS ALBI</v>
      </c>
      <c r="C6316" t="s">
        <v>77</v>
      </c>
    </row>
    <row r="6317" spans="1:3" x14ac:dyDescent="0.25">
      <c r="A6317" t="str">
        <f>"810101253"</f>
        <v>810101253</v>
      </c>
      <c r="B6317" t="str">
        <f>"EHPAD LES GRANDS CHENES"</f>
        <v>EHPAD LES GRANDS CHENES</v>
      </c>
      <c r="C6317" t="s">
        <v>77</v>
      </c>
    </row>
    <row r="6318" spans="1:3" x14ac:dyDescent="0.25">
      <c r="A6318" t="str">
        <f>"810101261"</f>
        <v>810101261</v>
      </c>
      <c r="B6318" t="str">
        <f>"EHPAD ST FRANCOIS-RESIDENCE 4 SAISONS"</f>
        <v>EHPAD ST FRANCOIS-RESIDENCE 4 SAISONS</v>
      </c>
      <c r="C6318" t="s">
        <v>77</v>
      </c>
    </row>
    <row r="6319" spans="1:3" x14ac:dyDescent="0.25">
      <c r="A6319" t="str">
        <f>"810101279"</f>
        <v>810101279</v>
      </c>
      <c r="B6319" t="str">
        <f>"EHPAD LE PRE DE MILLET"</f>
        <v>EHPAD LE PRE DE MILLET</v>
      </c>
      <c r="C6319" t="s">
        <v>77</v>
      </c>
    </row>
    <row r="6320" spans="1:3" x14ac:dyDescent="0.25">
      <c r="A6320" t="str">
        <f>"810101386"</f>
        <v>810101386</v>
      </c>
      <c r="B6320" t="str">
        <f>"EHPAD LA RESIDENCE MAISON DE RETRAITE"</f>
        <v>EHPAD LA RESIDENCE MAISON DE RETRAITE</v>
      </c>
      <c r="C6320" t="s">
        <v>77</v>
      </c>
    </row>
    <row r="6321" spans="1:3" x14ac:dyDescent="0.25">
      <c r="A6321" t="str">
        <f>"810101618"</f>
        <v>810101618</v>
      </c>
      <c r="B6321" t="str">
        <f>"EHPAD PETITE PLAISANCE SALVAGNAC"</f>
        <v>EHPAD PETITE PLAISANCE SALVAGNAC</v>
      </c>
      <c r="C6321" t="s">
        <v>77</v>
      </c>
    </row>
    <row r="6322" spans="1:3" x14ac:dyDescent="0.25">
      <c r="A6322" t="str">
        <f>"810101675"</f>
        <v>810101675</v>
      </c>
      <c r="B6322" t="str">
        <f>"EHPAD MAISON DU BOUTGE"</f>
        <v>EHPAD MAISON DU BOUTGE</v>
      </c>
      <c r="C6322" t="s">
        <v>77</v>
      </c>
    </row>
    <row r="6323" spans="1:3" x14ac:dyDescent="0.25">
      <c r="A6323" t="str">
        <f>"810101832"</f>
        <v>810101832</v>
      </c>
      <c r="B6323" t="str">
        <f>"EHPAD LES ADRETS"</f>
        <v>EHPAD LES ADRETS</v>
      </c>
      <c r="C6323" t="s">
        <v>77</v>
      </c>
    </row>
    <row r="6324" spans="1:3" x14ac:dyDescent="0.25">
      <c r="A6324" t="str">
        <f>"810102160"</f>
        <v>810102160</v>
      </c>
      <c r="B6324" t="str">
        <f>"RESIDENCE LE GRAND CHAMP"</f>
        <v>RESIDENCE LE GRAND CHAMP</v>
      </c>
      <c r="C6324" t="s">
        <v>77</v>
      </c>
    </row>
    <row r="6325" spans="1:3" x14ac:dyDescent="0.25">
      <c r="A6325" t="str">
        <f>"820000222"</f>
        <v>820000222</v>
      </c>
      <c r="B6325" t="str">
        <f>"EHPAD 'LE PARC ET L'OSTAL DE GARONA'"</f>
        <v>EHPAD 'LE PARC ET L'OSTAL DE GARONA'</v>
      </c>
      <c r="C6325" t="s">
        <v>77</v>
      </c>
    </row>
    <row r="6326" spans="1:3" x14ac:dyDescent="0.25">
      <c r="A6326" t="str">
        <f>"820000230"</f>
        <v>820000230</v>
      </c>
      <c r="B6326" t="str">
        <f>"EHPAD 'DUNANT' BEAUMONT DE LOMAGNE"</f>
        <v>EHPAD 'DUNANT' BEAUMONT DE LOMAGNE</v>
      </c>
      <c r="C6326" t="s">
        <v>77</v>
      </c>
    </row>
    <row r="6327" spans="1:3" x14ac:dyDescent="0.25">
      <c r="A6327" t="str">
        <f>"820000255"</f>
        <v>820000255</v>
      </c>
      <c r="B6327" t="str">
        <f>"EHPAD 'LA MÉDIÉVALE ARGENTEE'"</f>
        <v>EHPAD 'LA MÉDIÉVALE ARGENTEE'</v>
      </c>
      <c r="C6327" t="s">
        <v>77</v>
      </c>
    </row>
    <row r="6328" spans="1:3" x14ac:dyDescent="0.25">
      <c r="A6328" t="str">
        <f>"820000305"</f>
        <v>820000305</v>
      </c>
      <c r="B6328" t="str">
        <f>"EHPAD RESIDENCE ST JEAN MARIE VIANNEY"</f>
        <v>EHPAD RESIDENCE ST JEAN MARIE VIANNEY</v>
      </c>
      <c r="C6328" t="s">
        <v>77</v>
      </c>
    </row>
    <row r="6329" spans="1:3" x14ac:dyDescent="0.25">
      <c r="A6329" t="str">
        <f>"820000339"</f>
        <v>820000339</v>
      </c>
      <c r="B6329" t="str">
        <f>"EHPAD SAINTE SOPHIE"</f>
        <v>EHPAD SAINTE SOPHIE</v>
      </c>
      <c r="C6329" t="s">
        <v>77</v>
      </c>
    </row>
    <row r="6330" spans="1:3" x14ac:dyDescent="0.25">
      <c r="A6330" t="str">
        <f>"820000347"</f>
        <v>820000347</v>
      </c>
      <c r="B6330" t="str">
        <f>"EHPAD LES CAUSERIES"</f>
        <v>EHPAD LES CAUSERIES</v>
      </c>
      <c r="C6330" t="s">
        <v>77</v>
      </c>
    </row>
    <row r="6331" spans="1:3" x14ac:dyDescent="0.25">
      <c r="A6331" t="str">
        <f>"820000354"</f>
        <v>820000354</v>
      </c>
      <c r="B6331" t="str">
        <f>"EHPAD SAINT-JACQUES"</f>
        <v>EHPAD SAINT-JACQUES</v>
      </c>
      <c r="C6331" t="s">
        <v>77</v>
      </c>
    </row>
    <row r="6332" spans="1:3" x14ac:dyDescent="0.25">
      <c r="A6332" t="str">
        <f>"820000362"</f>
        <v>820000362</v>
      </c>
      <c r="B6332" t="str">
        <f>"EHPAD RÉSIDENCE DE L' ABBAYE"</f>
        <v>EHPAD RÉSIDENCE DE L' ABBAYE</v>
      </c>
      <c r="C6332" t="s">
        <v>77</v>
      </c>
    </row>
    <row r="6333" spans="1:3" x14ac:dyDescent="0.25">
      <c r="A6333" t="str">
        <f>"820000370"</f>
        <v>820000370</v>
      </c>
      <c r="B6333" t="str">
        <f>"EHPAD 'LE PARC ET L'OSTAL DE GARONA'"</f>
        <v>EHPAD 'LE PARC ET L'OSTAL DE GARONA'</v>
      </c>
      <c r="C6333" t="s">
        <v>77</v>
      </c>
    </row>
    <row r="6334" spans="1:3" x14ac:dyDescent="0.25">
      <c r="A6334" t="str">
        <f>"820000388"</f>
        <v>820000388</v>
      </c>
      <c r="B6334" t="str">
        <f>"EHPAD CH DES DEUX RIVES LAMAGISTERE"</f>
        <v>EHPAD CH DES DEUX RIVES LAMAGISTERE</v>
      </c>
      <c r="C6334" t="s">
        <v>77</v>
      </c>
    </row>
    <row r="6335" spans="1:3" x14ac:dyDescent="0.25">
      <c r="A6335" t="str">
        <f>"820002038"</f>
        <v>820002038</v>
      </c>
      <c r="B6335" t="str">
        <f>"EHPAD DE CAYLUS VAL DE BONNETTE"</f>
        <v>EHPAD DE CAYLUS VAL DE BONNETTE</v>
      </c>
      <c r="C6335" t="s">
        <v>77</v>
      </c>
    </row>
    <row r="6336" spans="1:3" x14ac:dyDescent="0.25">
      <c r="A6336" t="str">
        <f>"820003465"</f>
        <v>820003465</v>
      </c>
      <c r="B6336" t="str">
        <f>"EHPAD  FOUCAULT CH MONTAUBAN"</f>
        <v>EHPAD  FOUCAULT CH MONTAUBAN</v>
      </c>
      <c r="C6336" t="s">
        <v>77</v>
      </c>
    </row>
    <row r="6337" spans="1:3" x14ac:dyDescent="0.25">
      <c r="A6337" t="str">
        <f>"820003473"</f>
        <v>820003473</v>
      </c>
      <c r="B6337" t="str">
        <f>"EHPAD CHIC CASTELSARRASIN MOISSAC"</f>
        <v>EHPAD CHIC CASTELSARRASIN MOISSAC</v>
      </c>
      <c r="C6337" t="s">
        <v>77</v>
      </c>
    </row>
    <row r="6338" spans="1:3" x14ac:dyDescent="0.25">
      <c r="A6338" t="str">
        <f>"820003903"</f>
        <v>820003903</v>
      </c>
      <c r="B6338" t="str">
        <f>"EHPAD CHIC CASTELSARRASIN MOISSAC"</f>
        <v>EHPAD CHIC CASTELSARRASIN MOISSAC</v>
      </c>
      <c r="C6338" t="s">
        <v>77</v>
      </c>
    </row>
    <row r="6339" spans="1:3" x14ac:dyDescent="0.25">
      <c r="A6339" t="str">
        <f>"820003986"</f>
        <v>820003986</v>
      </c>
      <c r="B6339" t="str">
        <f>"EHPAD RESIDENCE LA BARBACANE"</f>
        <v>EHPAD RESIDENCE LA BARBACANE</v>
      </c>
      <c r="C6339" t="s">
        <v>77</v>
      </c>
    </row>
    <row r="6340" spans="1:3" x14ac:dyDescent="0.25">
      <c r="A6340" t="str">
        <f>"820004083"</f>
        <v>820004083</v>
      </c>
      <c r="B6340" t="str">
        <f>"EHPAD DU CH TURENNE A NEGREPELISSE"</f>
        <v>EHPAD DU CH TURENNE A NEGREPELISSE</v>
      </c>
      <c r="C6340" t="s">
        <v>77</v>
      </c>
    </row>
    <row r="6341" spans="1:3" x14ac:dyDescent="0.25">
      <c r="A6341" t="str">
        <f>"820004422"</f>
        <v>820004422</v>
      </c>
      <c r="B6341" t="str">
        <f>"EHPAD CH DES DEUX RIVES VALENCE D'AGEN"</f>
        <v>EHPAD CH DES DEUX RIVES VALENCE D'AGEN</v>
      </c>
      <c r="C6341" t="s">
        <v>77</v>
      </c>
    </row>
    <row r="6342" spans="1:3" x14ac:dyDescent="0.25">
      <c r="A6342" t="str">
        <f>"820005064"</f>
        <v>820005064</v>
      </c>
      <c r="B6342" t="str">
        <f>"EHPAD 'LE JARDIN D'EMILIE' CH CAUSSADE"</f>
        <v>EHPAD 'LE JARDIN D'EMILIE' CH CAUSSADE</v>
      </c>
      <c r="C6342" t="s">
        <v>77</v>
      </c>
    </row>
    <row r="6343" spans="1:3" x14ac:dyDescent="0.25">
      <c r="A6343" t="str">
        <f>"820005437"</f>
        <v>820005437</v>
      </c>
      <c r="B6343" t="str">
        <f>"EHPAD USHPA CH MONTAUBAN"</f>
        <v>EHPAD USHPA CH MONTAUBAN</v>
      </c>
      <c r="C6343" t="s">
        <v>77</v>
      </c>
    </row>
    <row r="6344" spans="1:3" x14ac:dyDescent="0.25">
      <c r="A6344" t="str">
        <f>"820005577"</f>
        <v>820005577</v>
      </c>
      <c r="B6344" t="str">
        <f>"EHPAD BEAUMONT DE LOMAGNE"</f>
        <v>EHPAD BEAUMONT DE LOMAGNE</v>
      </c>
      <c r="C6344" t="s">
        <v>77</v>
      </c>
    </row>
    <row r="6345" spans="1:3" x14ac:dyDescent="0.25">
      <c r="A6345" t="str">
        <f>"820005668"</f>
        <v>820005668</v>
      </c>
      <c r="B6345" t="str">
        <f>"EHPAD LAFRANCAISE"</f>
        <v>EHPAD LAFRANCAISE</v>
      </c>
      <c r="C6345" t="s">
        <v>77</v>
      </c>
    </row>
    <row r="6346" spans="1:3" x14ac:dyDescent="0.25">
      <c r="A6346" t="str">
        <f>"820005676"</f>
        <v>820005676</v>
      </c>
      <c r="B6346" t="str">
        <f>"EHPAD RESIDENCE LA SEPTFONTOISE"</f>
        <v>EHPAD RESIDENCE LA SEPTFONTOISE</v>
      </c>
      <c r="C6346" t="s">
        <v>77</v>
      </c>
    </row>
    <row r="6347" spans="1:3" x14ac:dyDescent="0.25">
      <c r="A6347" t="str">
        <f>"820005932"</f>
        <v>820005932</v>
      </c>
      <c r="B6347" t="str">
        <f>"EHPAD RESIDENCE DES 3 LACS"</f>
        <v>EHPAD RESIDENCE DES 3 LACS</v>
      </c>
      <c r="C6347" t="s">
        <v>77</v>
      </c>
    </row>
    <row r="6348" spans="1:3" x14ac:dyDescent="0.25">
      <c r="A6348" t="str">
        <f>"820006344"</f>
        <v>820006344</v>
      </c>
      <c r="B6348" t="str">
        <f>"EHPAD 'L'ANGE GARDIEN'"</f>
        <v>EHPAD 'L'ANGE GARDIEN'</v>
      </c>
      <c r="C6348" t="s">
        <v>77</v>
      </c>
    </row>
    <row r="6349" spans="1:3" x14ac:dyDescent="0.25">
      <c r="A6349" t="str">
        <f>"820006542"</f>
        <v>820006542</v>
      </c>
      <c r="B6349" t="str">
        <f>"EHPAD NOTRE DAME"</f>
        <v>EHPAD NOTRE DAME</v>
      </c>
      <c r="C6349" t="s">
        <v>77</v>
      </c>
    </row>
    <row r="6350" spans="1:3" x14ac:dyDescent="0.25">
      <c r="A6350" t="str">
        <f>"820006583"</f>
        <v>820006583</v>
      </c>
      <c r="B6350" t="str">
        <f>"EHPAD LES CHENES VERTS"</f>
        <v>EHPAD LES CHENES VERTS</v>
      </c>
      <c r="C6350" t="s">
        <v>77</v>
      </c>
    </row>
    <row r="6351" spans="1:3" x14ac:dyDescent="0.25">
      <c r="A6351" t="str">
        <f>"820008225"</f>
        <v>820008225</v>
      </c>
      <c r="B6351" t="str">
        <f>"EHPAD CCAS DE NEGREPELISSE"</f>
        <v>EHPAD CCAS DE NEGREPELISSE</v>
      </c>
      <c r="C6351" t="s">
        <v>77</v>
      </c>
    </row>
    <row r="6352" spans="1:3" x14ac:dyDescent="0.25">
      <c r="A6352" t="str">
        <f>"820008282"</f>
        <v>820008282</v>
      </c>
      <c r="B6352" t="str">
        <f>"EHPAD LA SOULEIHADO"</f>
        <v>EHPAD LA SOULEIHADO</v>
      </c>
      <c r="C6352" t="s">
        <v>77</v>
      </c>
    </row>
    <row r="6353" spans="1:3" x14ac:dyDescent="0.25">
      <c r="A6353" t="str">
        <f>"820008324"</f>
        <v>820008324</v>
      </c>
      <c r="B6353" t="str">
        <f>"EHPAD LES SAULES"</f>
        <v>EHPAD LES SAULES</v>
      </c>
      <c r="C6353" t="s">
        <v>77</v>
      </c>
    </row>
    <row r="6354" spans="1:3" x14ac:dyDescent="0.25">
      <c r="A6354" t="str">
        <f>"820008530"</f>
        <v>820008530</v>
      </c>
      <c r="B6354" t="str">
        <f>"EHPAD RESIDENCE PAGOMAL"</f>
        <v>EHPAD RESIDENCE PAGOMAL</v>
      </c>
      <c r="C6354" t="s">
        <v>77</v>
      </c>
    </row>
    <row r="6355" spans="1:3" x14ac:dyDescent="0.25">
      <c r="A6355" t="str">
        <f>"820008803"</f>
        <v>820008803</v>
      </c>
      <c r="B6355" t="str">
        <f>"EHPAD LES FLORALIES"</f>
        <v>EHPAD LES FLORALIES</v>
      </c>
      <c r="C6355" t="s">
        <v>77</v>
      </c>
    </row>
    <row r="6356" spans="1:3" x14ac:dyDescent="0.25">
      <c r="A6356" t="str">
        <f>"820008985"</f>
        <v>820008985</v>
      </c>
      <c r="B6356" t="str">
        <f>"EHPAD MAISON DE RETRAITE PROTESTANTE"</f>
        <v>EHPAD MAISON DE RETRAITE PROTESTANTE</v>
      </c>
      <c r="C6356" t="s">
        <v>77</v>
      </c>
    </row>
    <row r="6357" spans="1:3" x14ac:dyDescent="0.25">
      <c r="A6357" t="str">
        <f>"820008993"</f>
        <v>820008993</v>
      </c>
      <c r="B6357" t="str">
        <f>"EHPAD SAINT ORENS"</f>
        <v>EHPAD SAINT ORENS</v>
      </c>
      <c r="C6357" t="s">
        <v>77</v>
      </c>
    </row>
    <row r="6358" spans="1:3" x14ac:dyDescent="0.25">
      <c r="A6358" t="str">
        <f>"820009595"</f>
        <v>820009595</v>
      </c>
      <c r="B6358" t="str">
        <f>"EHPAD LES GRAINS DORES"</f>
        <v>EHPAD LES GRAINS DORES</v>
      </c>
      <c r="C6358" t="s">
        <v>77</v>
      </c>
    </row>
    <row r="6359" spans="1:3" x14ac:dyDescent="0.25">
      <c r="A6359" t="str">
        <f>"820009637"</f>
        <v>820009637</v>
      </c>
      <c r="B6359" t="str">
        <f>"'CANTOU VILLE' EHPAD CH CAUSSADE"</f>
        <v>'CANTOU VILLE' EHPAD CH CAUSSADE</v>
      </c>
      <c r="C6359" t="s">
        <v>77</v>
      </c>
    </row>
    <row r="6360" spans="1:3" x14ac:dyDescent="0.25">
      <c r="A6360" t="str">
        <f>"820009645"</f>
        <v>820009645</v>
      </c>
      <c r="B6360" t="str">
        <f>"RESIDENCE MOLIERES EHPAD CH CAUSSADE"</f>
        <v>RESIDENCE MOLIERES EHPAD CH CAUSSADE</v>
      </c>
      <c r="C6360" t="s">
        <v>77</v>
      </c>
    </row>
    <row r="6361" spans="1:3" x14ac:dyDescent="0.25">
      <c r="A6361" t="str">
        <f>"820009652"</f>
        <v>820009652</v>
      </c>
      <c r="B6361" t="str">
        <f>"RESIDENCE MONTPEZAT EHPAD CH CAUSSADE"</f>
        <v>RESIDENCE MONTPEZAT EHPAD CH CAUSSADE</v>
      </c>
      <c r="C6361" t="s">
        <v>77</v>
      </c>
    </row>
    <row r="6362" spans="1:3" x14ac:dyDescent="0.25">
      <c r="A6362" t="str">
        <f>"830003968"</f>
        <v>830003968</v>
      </c>
      <c r="B6362" t="str">
        <f>"EHPAD RESIDENCE LES PLEIADES"</f>
        <v>EHPAD RESIDENCE LES PLEIADES</v>
      </c>
      <c r="C6362" t="s">
        <v>76</v>
      </c>
    </row>
    <row r="6363" spans="1:3" x14ac:dyDescent="0.25">
      <c r="A6363" t="str">
        <f>"830004339"</f>
        <v>830004339</v>
      </c>
      <c r="B6363" t="str">
        <f>"EHPAD LA PIERRE DE LA FEE"</f>
        <v>EHPAD LA PIERRE DE LA FEE</v>
      </c>
      <c r="C6363" t="s">
        <v>76</v>
      </c>
    </row>
    <row r="6364" spans="1:3" x14ac:dyDescent="0.25">
      <c r="A6364" t="str">
        <f>"830004529"</f>
        <v>830004529</v>
      </c>
      <c r="B6364" t="str">
        <f>"EHPAD LES JARDINS DE MAR VIVO"</f>
        <v>EHPAD LES JARDINS DE MAR VIVO</v>
      </c>
      <c r="C6364" t="s">
        <v>76</v>
      </c>
    </row>
    <row r="6365" spans="1:3" x14ac:dyDescent="0.25">
      <c r="A6365" t="str">
        <f>"830004628"</f>
        <v>830004628</v>
      </c>
      <c r="B6365" t="str">
        <f>"EHPAD KORIAN LE CAP SICIE"</f>
        <v>EHPAD KORIAN LE CAP SICIE</v>
      </c>
      <c r="C6365" t="s">
        <v>76</v>
      </c>
    </row>
    <row r="6366" spans="1:3" x14ac:dyDescent="0.25">
      <c r="A6366" t="str">
        <f>"830004719"</f>
        <v>830004719</v>
      </c>
      <c r="B6366" t="str">
        <f>"EHPAD RESIDENCE HERMES"</f>
        <v>EHPAD RESIDENCE HERMES</v>
      </c>
      <c r="C6366" t="s">
        <v>76</v>
      </c>
    </row>
    <row r="6367" spans="1:3" x14ac:dyDescent="0.25">
      <c r="A6367" t="str">
        <f>"830007449"</f>
        <v>830007449</v>
      </c>
      <c r="B6367" t="str">
        <f>"EHPAD LES TAMARIS"</f>
        <v>EHPAD LES TAMARIS</v>
      </c>
      <c r="C6367" t="s">
        <v>76</v>
      </c>
    </row>
    <row r="6368" spans="1:3" x14ac:dyDescent="0.25">
      <c r="A6368" t="str">
        <f>"830007928"</f>
        <v>830007928</v>
      </c>
      <c r="B6368" t="str">
        <f>"EHPAD RESIDENCE LES OLIVIERS"</f>
        <v>EHPAD RESIDENCE LES OLIVIERS</v>
      </c>
      <c r="C6368" t="s">
        <v>76</v>
      </c>
    </row>
    <row r="6369" spans="1:3" x14ac:dyDescent="0.25">
      <c r="A6369" t="str">
        <f>"830009718"</f>
        <v>830009718</v>
      </c>
      <c r="B6369" t="str">
        <f>"EHPAD PUBLIC LE MAS DES SENES"</f>
        <v>EHPAD PUBLIC LE MAS DES SENES</v>
      </c>
      <c r="C6369" t="s">
        <v>76</v>
      </c>
    </row>
    <row r="6370" spans="1:3" x14ac:dyDescent="0.25">
      <c r="A6370" t="str">
        <f>"830009908"</f>
        <v>830009908</v>
      </c>
      <c r="B6370" t="str">
        <f>"RESIDENCE COLONEL PICOT"</f>
        <v>RESIDENCE COLONEL PICOT</v>
      </c>
      <c r="C6370" t="s">
        <v>76</v>
      </c>
    </row>
    <row r="6371" spans="1:3" x14ac:dyDescent="0.25">
      <c r="A6371" t="str">
        <f>"830010039"</f>
        <v>830010039</v>
      </c>
      <c r="B6371" t="str">
        <f>"EHPAD LA MAISON DES MICOCOULIERS"</f>
        <v>EHPAD LA MAISON DES MICOCOULIERS</v>
      </c>
      <c r="C6371" t="s">
        <v>76</v>
      </c>
    </row>
    <row r="6372" spans="1:3" x14ac:dyDescent="0.25">
      <c r="A6372" t="str">
        <f>"830011128"</f>
        <v>830011128</v>
      </c>
      <c r="B6372" t="str">
        <f>"EHPAD L'AGE D'OR"</f>
        <v>EHPAD L'AGE D'OR</v>
      </c>
      <c r="C6372" t="s">
        <v>76</v>
      </c>
    </row>
    <row r="6373" spans="1:3" x14ac:dyDescent="0.25">
      <c r="A6373" t="str">
        <f>"830011219"</f>
        <v>830011219</v>
      </c>
      <c r="B6373" t="str">
        <f>"EHPAD LES FIGUIERS"</f>
        <v>EHPAD LES FIGUIERS</v>
      </c>
      <c r="C6373" t="s">
        <v>76</v>
      </c>
    </row>
    <row r="6374" spans="1:3" x14ac:dyDescent="0.25">
      <c r="A6374" t="str">
        <f>"830011318"</f>
        <v>830011318</v>
      </c>
      <c r="B6374" t="str">
        <f>"EHPAD PUBLIC ANDRE BLANC"</f>
        <v>EHPAD PUBLIC ANDRE BLANC</v>
      </c>
      <c r="C6374" t="s">
        <v>76</v>
      </c>
    </row>
    <row r="6375" spans="1:3" x14ac:dyDescent="0.25">
      <c r="A6375" t="str">
        <f>"830011458"</f>
        <v>830011458</v>
      </c>
      <c r="B6375" t="str">
        <f>"EHPAD RESIDENCE LES CLOS DE PLANESTEL"</f>
        <v>EHPAD RESIDENCE LES CLOS DE PLANESTEL</v>
      </c>
      <c r="C6375" t="s">
        <v>76</v>
      </c>
    </row>
    <row r="6376" spans="1:3" x14ac:dyDescent="0.25">
      <c r="A6376" t="str">
        <f>"830011599"</f>
        <v>830011599</v>
      </c>
      <c r="B6376" t="str">
        <f>"EHPAD LES CLEMATITES"</f>
        <v>EHPAD LES CLEMATITES</v>
      </c>
      <c r="C6376" t="s">
        <v>76</v>
      </c>
    </row>
    <row r="6377" spans="1:3" x14ac:dyDescent="0.25">
      <c r="A6377" t="str">
        <f>"830012449"</f>
        <v>830012449</v>
      </c>
      <c r="B6377" t="str">
        <f>"EHPAD PUBLIC  AUTONOME L'ESCANDIHADO"</f>
        <v>EHPAD PUBLIC  AUTONOME L'ESCANDIHADO</v>
      </c>
      <c r="C6377" t="s">
        <v>76</v>
      </c>
    </row>
    <row r="6378" spans="1:3" x14ac:dyDescent="0.25">
      <c r="A6378" t="str">
        <f>"830015269"</f>
        <v>830015269</v>
      </c>
      <c r="B6378" t="str">
        <f>"EHPAD LES EAUX VIVES"</f>
        <v>EHPAD LES EAUX VIVES</v>
      </c>
      <c r="C6378" t="s">
        <v>76</v>
      </c>
    </row>
    <row r="6379" spans="1:3" x14ac:dyDescent="0.25">
      <c r="A6379" t="str">
        <f>"830015319"</f>
        <v>830015319</v>
      </c>
      <c r="B6379" t="str">
        <f>"EHPAD LES JONQUIERS"</f>
        <v>EHPAD LES JONQUIERS</v>
      </c>
      <c r="C6379" t="s">
        <v>76</v>
      </c>
    </row>
    <row r="6380" spans="1:3" x14ac:dyDescent="0.25">
      <c r="A6380" t="str">
        <f>"830015939"</f>
        <v>830015939</v>
      </c>
      <c r="B6380" t="str">
        <f>"EHPAD JEAN LACHENAUD"</f>
        <v>EHPAD JEAN LACHENAUD</v>
      </c>
      <c r="C6380" t="s">
        <v>76</v>
      </c>
    </row>
    <row r="6381" spans="1:3" x14ac:dyDescent="0.25">
      <c r="A6381" t="str">
        <f>"830015988"</f>
        <v>830015988</v>
      </c>
      <c r="B6381" t="str">
        <f>"EHPAD LA SOURCE"</f>
        <v>EHPAD LA SOURCE</v>
      </c>
      <c r="C6381" t="s">
        <v>76</v>
      </c>
    </row>
    <row r="6382" spans="1:3" x14ac:dyDescent="0.25">
      <c r="A6382" t="str">
        <f>"830016119"</f>
        <v>830016119</v>
      </c>
      <c r="B6382" t="str">
        <f>"EHPAD PUBLIC GEORGES CLEMENCEAU"</f>
        <v>EHPAD PUBLIC GEORGES CLEMENCEAU</v>
      </c>
      <c r="C6382" t="s">
        <v>76</v>
      </c>
    </row>
    <row r="6383" spans="1:3" x14ac:dyDescent="0.25">
      <c r="A6383" t="str">
        <f>"830016309"</f>
        <v>830016309</v>
      </c>
      <c r="B6383" t="str">
        <f>"EHPAD PUBLIC AUX TROIS TILLEULS"</f>
        <v>EHPAD PUBLIC AUX TROIS TILLEULS</v>
      </c>
      <c r="C6383" t="s">
        <v>76</v>
      </c>
    </row>
    <row r="6384" spans="1:3" x14ac:dyDescent="0.25">
      <c r="A6384" t="str">
        <f>"830016531"</f>
        <v>830016531</v>
      </c>
      <c r="B6384" t="str">
        <f>"EHPAD TOUSSAINT MERLE"</f>
        <v>EHPAD TOUSSAINT MERLE</v>
      </c>
      <c r="C6384" t="s">
        <v>76</v>
      </c>
    </row>
    <row r="6385" spans="1:3" x14ac:dyDescent="0.25">
      <c r="A6385" t="str">
        <f>"830016689"</f>
        <v>830016689</v>
      </c>
      <c r="B6385" t="str">
        <f>"EHPAD NOTRE DAME DE PARACOL"</f>
        <v>EHPAD NOTRE DAME DE PARACOL</v>
      </c>
      <c r="C6385" t="s">
        <v>76</v>
      </c>
    </row>
    <row r="6386" spans="1:3" x14ac:dyDescent="0.25">
      <c r="A6386" t="str">
        <f>"830016929"</f>
        <v>830016929</v>
      </c>
      <c r="B6386" t="str">
        <f>"RESIDENCE ORPEA PROMENADES DE JADE"</f>
        <v>RESIDENCE ORPEA PROMENADES DE JADE</v>
      </c>
      <c r="C6386" t="s">
        <v>76</v>
      </c>
    </row>
    <row r="6387" spans="1:3" x14ac:dyDescent="0.25">
      <c r="A6387" t="str">
        <f>"830016978"</f>
        <v>830016978</v>
      </c>
      <c r="B6387" t="str">
        <f>"EHPAD LE GRAND JARDIN"</f>
        <v>EHPAD LE GRAND JARDIN</v>
      </c>
      <c r="C6387" t="s">
        <v>76</v>
      </c>
    </row>
    <row r="6388" spans="1:3" x14ac:dyDescent="0.25">
      <c r="A6388" t="str">
        <f>"830017034"</f>
        <v>830017034</v>
      </c>
      <c r="B6388" t="str">
        <f>"EHPAD LES AMANDIERS DE LA RESSENCE"</f>
        <v>EHPAD LES AMANDIERS DE LA RESSENCE</v>
      </c>
      <c r="C6388" t="s">
        <v>76</v>
      </c>
    </row>
    <row r="6389" spans="1:3" x14ac:dyDescent="0.25">
      <c r="A6389" t="str">
        <f>"830017059"</f>
        <v>830017059</v>
      </c>
      <c r="B6389" t="str">
        <f>"EHPAD HENRI DUNANT"</f>
        <v>EHPAD HENRI DUNANT</v>
      </c>
      <c r="C6389" t="s">
        <v>76</v>
      </c>
    </row>
    <row r="6390" spans="1:3" x14ac:dyDescent="0.25">
      <c r="A6390" t="str">
        <f>"830017117"</f>
        <v>830017117</v>
      </c>
      <c r="B6390" t="str">
        <f>"EHPAD KORIAN L'AUBIER DE CYBELE"</f>
        <v>EHPAD KORIAN L'AUBIER DE CYBELE</v>
      </c>
      <c r="C6390" t="s">
        <v>76</v>
      </c>
    </row>
    <row r="6391" spans="1:3" x14ac:dyDescent="0.25">
      <c r="A6391" t="str">
        <f>"830017133"</f>
        <v>830017133</v>
      </c>
      <c r="B6391" t="str">
        <f>"EHPAD KORIAN SAINT FRANÇOIS DU LAS"</f>
        <v>EHPAD KORIAN SAINT FRANÇOIS DU LAS</v>
      </c>
      <c r="C6391" t="s">
        <v>76</v>
      </c>
    </row>
    <row r="6392" spans="1:3" x14ac:dyDescent="0.25">
      <c r="A6392" t="str">
        <f>"830017166"</f>
        <v>830017166</v>
      </c>
      <c r="B6392" t="str">
        <f>"EHPAD LES CHARMETTES"</f>
        <v>EHPAD LES CHARMETTES</v>
      </c>
      <c r="C6392" t="s">
        <v>76</v>
      </c>
    </row>
    <row r="6393" spans="1:3" x14ac:dyDescent="0.25">
      <c r="A6393" t="str">
        <f>"830017299"</f>
        <v>830017299</v>
      </c>
      <c r="B6393" t="str">
        <f>"RESIDENCE OLIVE ET GERMAIN BRAQUEHAIS"</f>
        <v>RESIDENCE OLIVE ET GERMAIN BRAQUEHAIS</v>
      </c>
      <c r="C6393" t="s">
        <v>76</v>
      </c>
    </row>
    <row r="6394" spans="1:3" x14ac:dyDescent="0.25">
      <c r="A6394" t="str">
        <f>"830017695"</f>
        <v>830017695</v>
      </c>
      <c r="B6394" t="str">
        <f>"EHPAD LA ROSE DE NOEL"</f>
        <v>EHPAD LA ROSE DE NOEL</v>
      </c>
      <c r="C6394" t="s">
        <v>76</v>
      </c>
    </row>
    <row r="6395" spans="1:3" x14ac:dyDescent="0.25">
      <c r="A6395" t="str">
        <f>"830017711"</f>
        <v>830017711</v>
      </c>
      <c r="B6395" t="str">
        <f>"EHPAD LES JARDINS DE VALESCURE"</f>
        <v>EHPAD LES JARDINS DE VALESCURE</v>
      </c>
      <c r="C6395" t="s">
        <v>76</v>
      </c>
    </row>
    <row r="6396" spans="1:3" x14ac:dyDescent="0.25">
      <c r="A6396" t="str">
        <f>"830017943"</f>
        <v>830017943</v>
      </c>
      <c r="B6396" t="str">
        <f>"EHPAD RESIDENCE L'AMIRAUTÉ"</f>
        <v>EHPAD RESIDENCE L'AMIRAUTÉ</v>
      </c>
      <c r="C6396" t="s">
        <v>76</v>
      </c>
    </row>
    <row r="6397" spans="1:3" x14ac:dyDescent="0.25">
      <c r="A6397" t="str">
        <f>"830018123"</f>
        <v>830018123</v>
      </c>
      <c r="B6397" t="str">
        <f>"EHPAD LES JARDINS DU REVEST"</f>
        <v>EHPAD LES JARDINS DU REVEST</v>
      </c>
      <c r="C6397" t="s">
        <v>76</v>
      </c>
    </row>
    <row r="6398" spans="1:3" x14ac:dyDescent="0.25">
      <c r="A6398" t="str">
        <f>"830018172"</f>
        <v>830018172</v>
      </c>
      <c r="B6398" t="str">
        <f>"EHPAD RESIDENCE RETRAITE  BELLESTEL"</f>
        <v>EHPAD RESIDENCE RETRAITE  BELLESTEL</v>
      </c>
      <c r="C6398" t="s">
        <v>76</v>
      </c>
    </row>
    <row r="6399" spans="1:3" x14ac:dyDescent="0.25">
      <c r="A6399" t="str">
        <f>"830018560"</f>
        <v>830018560</v>
      </c>
      <c r="B6399" t="str">
        <f>"EHPAD RESIDENCE PALMERA"</f>
        <v>EHPAD RESIDENCE PALMERA</v>
      </c>
      <c r="C6399" t="s">
        <v>76</v>
      </c>
    </row>
    <row r="6400" spans="1:3" x14ac:dyDescent="0.25">
      <c r="A6400" t="str">
        <f>"830020731"</f>
        <v>830020731</v>
      </c>
      <c r="B6400" t="str">
        <f>"EHPAD RESIDENCE VICTORIA"</f>
        <v>EHPAD RESIDENCE VICTORIA</v>
      </c>
      <c r="C6400" t="s">
        <v>76</v>
      </c>
    </row>
    <row r="6401" spans="1:3" x14ac:dyDescent="0.25">
      <c r="A6401" t="str">
        <f>"830020921"</f>
        <v>830020921</v>
      </c>
      <c r="B6401" t="str">
        <f>"EHPAD KORIAN LA PINEDE"</f>
        <v>EHPAD KORIAN LA PINEDE</v>
      </c>
      <c r="C6401" t="s">
        <v>76</v>
      </c>
    </row>
    <row r="6402" spans="1:3" x14ac:dyDescent="0.25">
      <c r="A6402" t="str">
        <f>"830021317"</f>
        <v>830021317</v>
      </c>
      <c r="B6402" t="str">
        <f>"EHPAD SAINT JACQUES - LES GENETS"</f>
        <v>EHPAD SAINT JACQUES - LES GENETS</v>
      </c>
      <c r="C6402" t="s">
        <v>76</v>
      </c>
    </row>
    <row r="6403" spans="1:3" x14ac:dyDescent="0.25">
      <c r="A6403" t="str">
        <f>"830100046"</f>
        <v>830100046</v>
      </c>
      <c r="B6403" t="str">
        <f>"EHPAD LA ROSE DES VENTS"</f>
        <v>EHPAD LA ROSE DES VENTS</v>
      </c>
      <c r="C6403" t="s">
        <v>76</v>
      </c>
    </row>
    <row r="6404" spans="1:3" x14ac:dyDescent="0.25">
      <c r="A6404" t="str">
        <f>"830101234"</f>
        <v>830101234</v>
      </c>
      <c r="B6404" t="str">
        <f>"EHPAD L'HERMITAGE"</f>
        <v>EHPAD L'HERMITAGE</v>
      </c>
      <c r="C6404" t="s">
        <v>76</v>
      </c>
    </row>
    <row r="6405" spans="1:3" x14ac:dyDescent="0.25">
      <c r="A6405" t="str">
        <f>"830101242"</f>
        <v>830101242</v>
      </c>
      <c r="B6405" t="str">
        <f>"EHPAD PUBLIC MANON DES SOURCES"</f>
        <v>EHPAD PUBLIC MANON DES SOURCES</v>
      </c>
      <c r="C6405" t="s">
        <v>76</v>
      </c>
    </row>
    <row r="6406" spans="1:3" x14ac:dyDescent="0.25">
      <c r="A6406" t="str">
        <f>"830101259"</f>
        <v>830101259</v>
      </c>
      <c r="B6406" t="str">
        <f>"EHPAD BOUEN SEREN"</f>
        <v>EHPAD BOUEN SEREN</v>
      </c>
      <c r="C6406" t="s">
        <v>76</v>
      </c>
    </row>
    <row r="6407" spans="1:3" x14ac:dyDescent="0.25">
      <c r="A6407" t="str">
        <f>"830101283"</f>
        <v>830101283</v>
      </c>
      <c r="B6407" t="str">
        <f>"EHPAD HOME ARMENIEN"</f>
        <v>EHPAD HOME ARMENIEN</v>
      </c>
      <c r="C6407" t="s">
        <v>76</v>
      </c>
    </row>
    <row r="6408" spans="1:3" x14ac:dyDescent="0.25">
      <c r="A6408" t="str">
        <f>"830101291"</f>
        <v>830101291</v>
      </c>
      <c r="B6408" t="str">
        <f>"EHPAD NOTRE DAME DES ANGES"</f>
        <v>EHPAD NOTRE DAME DES ANGES</v>
      </c>
      <c r="C6408" t="s">
        <v>76</v>
      </c>
    </row>
    <row r="6409" spans="1:3" x14ac:dyDescent="0.25">
      <c r="A6409" t="str">
        <f>"830101325"</f>
        <v>830101325</v>
      </c>
      <c r="B6409" t="str">
        <f>"EHPAD LES MIGRANIERS"</f>
        <v>EHPAD LES MIGRANIERS</v>
      </c>
      <c r="C6409" t="s">
        <v>76</v>
      </c>
    </row>
    <row r="6410" spans="1:3" x14ac:dyDescent="0.25">
      <c r="A6410" t="str">
        <f>"830101432"</f>
        <v>830101432</v>
      </c>
      <c r="B6410" t="str">
        <f>"EHPAD PUBLIC L'OUSTAOU DE ZAOU"</f>
        <v>EHPAD PUBLIC L'OUSTAOU DE ZAOU</v>
      </c>
      <c r="C6410" t="s">
        <v>76</v>
      </c>
    </row>
    <row r="6411" spans="1:3" x14ac:dyDescent="0.25">
      <c r="A6411" t="str">
        <f>"830101440"</f>
        <v>830101440</v>
      </c>
      <c r="B6411" t="str">
        <f>"EHPAD PUBLIC LOUIS PASTEUR"</f>
        <v>EHPAD PUBLIC LOUIS PASTEUR</v>
      </c>
      <c r="C6411" t="s">
        <v>76</v>
      </c>
    </row>
    <row r="6412" spans="1:3" x14ac:dyDescent="0.25">
      <c r="A6412" t="str">
        <f>"830101457"</f>
        <v>830101457</v>
      </c>
      <c r="B6412" t="str">
        <f>"EHPAD PUBLIC XAVIER MARIN"</f>
        <v>EHPAD PUBLIC XAVIER MARIN</v>
      </c>
      <c r="C6412" t="s">
        <v>76</v>
      </c>
    </row>
    <row r="6413" spans="1:3" x14ac:dyDescent="0.25">
      <c r="A6413" t="str">
        <f>"830101465"</f>
        <v>830101465</v>
      </c>
      <c r="B6413" t="str">
        <f>"EHPAD SAINT JACQUES - LES CAPUCINES"</f>
        <v>EHPAD SAINT JACQUES - LES CAPUCINES</v>
      </c>
      <c r="C6413" t="s">
        <v>76</v>
      </c>
    </row>
    <row r="6414" spans="1:3" x14ac:dyDescent="0.25">
      <c r="A6414" t="str">
        <f>"830101473"</f>
        <v>830101473</v>
      </c>
      <c r="B6414" t="str">
        <f>"EHPAD PUBLIC SAINT FRANCOIS"</f>
        <v>EHPAD PUBLIC SAINT FRANCOIS</v>
      </c>
      <c r="C6414" t="s">
        <v>76</v>
      </c>
    </row>
    <row r="6415" spans="1:3" x14ac:dyDescent="0.25">
      <c r="A6415" t="str">
        <f>"830101481"</f>
        <v>830101481</v>
      </c>
      <c r="B6415" t="str">
        <f>"EHPAD PUBLIC DU LUC EN PROVENCE"</f>
        <v>EHPAD PUBLIC DU LUC EN PROVENCE</v>
      </c>
      <c r="C6415" t="s">
        <v>76</v>
      </c>
    </row>
    <row r="6416" spans="1:3" x14ac:dyDescent="0.25">
      <c r="A6416" t="str">
        <f>"830101507"</f>
        <v>830101507</v>
      </c>
      <c r="B6416" t="str">
        <f>"EHPAD PUBLIC PIN ET SOLEIL"</f>
        <v>EHPAD PUBLIC PIN ET SOLEIL</v>
      </c>
      <c r="C6416" t="s">
        <v>76</v>
      </c>
    </row>
    <row r="6417" spans="1:3" x14ac:dyDescent="0.25">
      <c r="A6417" t="str">
        <f>"830101515"</f>
        <v>830101515</v>
      </c>
      <c r="B6417" t="str">
        <f>"EHPAD SAINT JACQUES"</f>
        <v>EHPAD SAINT JACQUES</v>
      </c>
      <c r="C6417" t="s">
        <v>76</v>
      </c>
    </row>
    <row r="6418" spans="1:3" x14ac:dyDescent="0.25">
      <c r="A6418" t="str">
        <f>"830101549"</f>
        <v>830101549</v>
      </c>
      <c r="B6418" t="str">
        <f>"EHPAD PUBLIC LA SOURCE"</f>
        <v>EHPAD PUBLIC LA SOURCE</v>
      </c>
      <c r="C6418" t="s">
        <v>76</v>
      </c>
    </row>
    <row r="6419" spans="1:3" x14ac:dyDescent="0.25">
      <c r="A6419" t="str">
        <f>"830101556"</f>
        <v>830101556</v>
      </c>
      <c r="B6419" t="str">
        <f>"POLE GERONTOLOGIQUE DU RIOU BLANC"</f>
        <v>POLE GERONTOLOGIQUE DU RIOU BLANC</v>
      </c>
      <c r="C6419" t="s">
        <v>76</v>
      </c>
    </row>
    <row r="6420" spans="1:3" x14ac:dyDescent="0.25">
      <c r="A6420" t="str">
        <f>"830101564"</f>
        <v>830101564</v>
      </c>
      <c r="B6420" t="str">
        <f>"EHPAD PUBLIC FELIX PEY"</f>
        <v>EHPAD PUBLIC FELIX PEY</v>
      </c>
      <c r="C6420" t="s">
        <v>76</v>
      </c>
    </row>
    <row r="6421" spans="1:3" x14ac:dyDescent="0.25">
      <c r="A6421" t="str">
        <f>"830101788"</f>
        <v>830101788</v>
      </c>
      <c r="B6421" t="str">
        <f>"EHPAD SAINT MAUR"</f>
        <v>EHPAD SAINT MAUR</v>
      </c>
      <c r="C6421" t="s">
        <v>76</v>
      </c>
    </row>
    <row r="6422" spans="1:3" x14ac:dyDescent="0.25">
      <c r="A6422" t="str">
        <f>"830200119"</f>
        <v>830200119</v>
      </c>
      <c r="B6422" t="str">
        <f>"EHPAD PUBLIC PEIRIN"</f>
        <v>EHPAD PUBLIC PEIRIN</v>
      </c>
      <c r="C6422" t="s">
        <v>76</v>
      </c>
    </row>
    <row r="6423" spans="1:3" x14ac:dyDescent="0.25">
      <c r="A6423" t="str">
        <f>"830200127"</f>
        <v>830200127</v>
      </c>
      <c r="B6423" t="str">
        <f>"EHPAD LE PRADON"</f>
        <v>EHPAD LE PRADON</v>
      </c>
      <c r="C6423" t="s">
        <v>76</v>
      </c>
    </row>
    <row r="6424" spans="1:3" x14ac:dyDescent="0.25">
      <c r="A6424" t="str">
        <f>"830200150"</f>
        <v>830200150</v>
      </c>
      <c r="B6424" t="str">
        <f>"LA COLLINE STE MUSSE EHPAD LE COSOR"</f>
        <v>LA COLLINE STE MUSSE EHPAD LE COSOR</v>
      </c>
      <c r="C6424" t="s">
        <v>76</v>
      </c>
    </row>
    <row r="6425" spans="1:3" x14ac:dyDescent="0.25">
      <c r="A6425" t="str">
        <f>"830200168"</f>
        <v>830200168</v>
      </c>
      <c r="B6425" t="str">
        <f>"EHPAD RESIDENCE SAINT CLAIR"</f>
        <v>EHPAD RESIDENCE SAINT CLAIR</v>
      </c>
      <c r="C6425" t="s">
        <v>76</v>
      </c>
    </row>
    <row r="6426" spans="1:3" x14ac:dyDescent="0.25">
      <c r="A6426" t="str">
        <f>"830200176"</f>
        <v>830200176</v>
      </c>
      <c r="B6426" t="str">
        <f>"EHPAD RESIDENCE LE VERGER"</f>
        <v>EHPAD RESIDENCE LE VERGER</v>
      </c>
      <c r="C6426" t="s">
        <v>76</v>
      </c>
    </row>
    <row r="6427" spans="1:3" x14ac:dyDescent="0.25">
      <c r="A6427" t="str">
        <f>"830200184"</f>
        <v>830200184</v>
      </c>
      <c r="B6427" t="str">
        <f>"EHPAD LE DOMAINE DE TASSY"</f>
        <v>EHPAD LE DOMAINE DE TASSY</v>
      </c>
      <c r="C6427" t="s">
        <v>76</v>
      </c>
    </row>
    <row r="6428" spans="1:3" x14ac:dyDescent="0.25">
      <c r="A6428" t="str">
        <f>"830200218"</f>
        <v>830200218</v>
      </c>
      <c r="B6428" t="str">
        <f>"EHPAD LES PLATANES"</f>
        <v>EHPAD LES PLATANES</v>
      </c>
      <c r="C6428" t="s">
        <v>76</v>
      </c>
    </row>
    <row r="6429" spans="1:3" x14ac:dyDescent="0.25">
      <c r="A6429" t="str">
        <f>"830200226"</f>
        <v>830200226</v>
      </c>
      <c r="B6429" t="str">
        <f>"EHPAD SAINTE CATHERINE LABOURE"</f>
        <v>EHPAD SAINTE CATHERINE LABOURE</v>
      </c>
      <c r="C6429" t="s">
        <v>76</v>
      </c>
    </row>
    <row r="6430" spans="1:3" x14ac:dyDescent="0.25">
      <c r="A6430" t="str">
        <f>"830200333"</f>
        <v>830200333</v>
      </c>
      <c r="B6430" t="str">
        <f>"EHPAD AU BON ACCUEIL"</f>
        <v>EHPAD AU BON ACCUEIL</v>
      </c>
      <c r="C6430" t="s">
        <v>76</v>
      </c>
    </row>
    <row r="6431" spans="1:3" x14ac:dyDescent="0.25">
      <c r="A6431" t="str">
        <f>"830200408"</f>
        <v>830200408</v>
      </c>
      <c r="B6431" t="str">
        <f>"EHPAD LE VERDON"</f>
        <v>EHPAD LE VERDON</v>
      </c>
      <c r="C6431" t="s">
        <v>76</v>
      </c>
    </row>
    <row r="6432" spans="1:3" x14ac:dyDescent="0.25">
      <c r="A6432" t="str">
        <f>"830200465"</f>
        <v>830200465</v>
      </c>
      <c r="B6432" t="str">
        <f>"EHPAD LA MARQUISANNE 1"</f>
        <v>EHPAD LA MARQUISANNE 1</v>
      </c>
      <c r="C6432" t="s">
        <v>76</v>
      </c>
    </row>
    <row r="6433" spans="1:3" x14ac:dyDescent="0.25">
      <c r="A6433" t="str">
        <f>"830201042"</f>
        <v>830201042</v>
      </c>
      <c r="B6433" t="str">
        <f>"EHPAD JEANNE MARGUERITE"</f>
        <v>EHPAD JEANNE MARGUERITE</v>
      </c>
      <c r="C6433" t="s">
        <v>76</v>
      </c>
    </row>
    <row r="6434" spans="1:3" x14ac:dyDescent="0.25">
      <c r="A6434" t="str">
        <f>"830201083"</f>
        <v>830201083</v>
      </c>
      <c r="B6434" t="str">
        <f>"EHPAD LES JARDINS DE PROVENCE"</f>
        <v>EHPAD LES JARDINS DE PROVENCE</v>
      </c>
      <c r="C6434" t="s">
        <v>76</v>
      </c>
    </row>
    <row r="6435" spans="1:3" x14ac:dyDescent="0.25">
      <c r="A6435" t="str">
        <f>"830201117"</f>
        <v>830201117</v>
      </c>
      <c r="B6435" t="str">
        <f>"EHPAD LE ROSAIRE"</f>
        <v>EHPAD LE ROSAIRE</v>
      </c>
      <c r="C6435" t="s">
        <v>76</v>
      </c>
    </row>
    <row r="6436" spans="1:3" x14ac:dyDescent="0.25">
      <c r="A6436" t="str">
        <f>"830206447"</f>
        <v>830206447</v>
      </c>
      <c r="B6436" t="str">
        <f>"EHPAD RESIDENCE DU MONT AURELIEN"</f>
        <v>EHPAD RESIDENCE DU MONT AURELIEN</v>
      </c>
      <c r="C6436" t="s">
        <v>76</v>
      </c>
    </row>
    <row r="6437" spans="1:3" x14ac:dyDescent="0.25">
      <c r="A6437" t="str">
        <f>"830206462"</f>
        <v>830206462</v>
      </c>
      <c r="B6437" t="str">
        <f>"EHPAD MGEN"</f>
        <v>EHPAD MGEN</v>
      </c>
      <c r="C6437" t="s">
        <v>76</v>
      </c>
    </row>
    <row r="6438" spans="1:3" x14ac:dyDescent="0.25">
      <c r="A6438" t="str">
        <f>"830206579"</f>
        <v>830206579</v>
      </c>
      <c r="B6438" t="str">
        <f>"EHPAD LA MAISON DES OLIVIERS DE JEANNE"</f>
        <v>EHPAD LA MAISON DES OLIVIERS DE JEANNE</v>
      </c>
      <c r="C6438" t="s">
        <v>76</v>
      </c>
    </row>
    <row r="6439" spans="1:3" x14ac:dyDescent="0.25">
      <c r="A6439" t="str">
        <f>"830207304"</f>
        <v>830207304</v>
      </c>
      <c r="B6439" t="str">
        <f>"EHPAD LES JARDINS DE SAINTE BAUME"</f>
        <v>EHPAD LES JARDINS DE SAINTE BAUME</v>
      </c>
      <c r="C6439" t="s">
        <v>76</v>
      </c>
    </row>
    <row r="6440" spans="1:3" x14ac:dyDescent="0.25">
      <c r="A6440" t="str">
        <f>"830207478"</f>
        <v>830207478</v>
      </c>
      <c r="B6440" t="str">
        <f>"EHPAD CANTO MAI"</f>
        <v>EHPAD CANTO MAI</v>
      </c>
      <c r="C6440" t="s">
        <v>76</v>
      </c>
    </row>
    <row r="6441" spans="1:3" x14ac:dyDescent="0.25">
      <c r="A6441" t="str">
        <f>"830210845"</f>
        <v>830210845</v>
      </c>
      <c r="B6441" t="str">
        <f>"EHPAD LES AMANDIERS"</f>
        <v>EHPAD LES AMANDIERS</v>
      </c>
      <c r="C6441" t="s">
        <v>76</v>
      </c>
    </row>
    <row r="6442" spans="1:3" x14ac:dyDescent="0.25">
      <c r="A6442" t="str">
        <f>"830211207"</f>
        <v>830211207</v>
      </c>
      <c r="B6442" t="str">
        <f>"EHPAD MARIE MAGDELEINE"</f>
        <v>EHPAD MARIE MAGDELEINE</v>
      </c>
      <c r="C6442" t="s">
        <v>76</v>
      </c>
    </row>
    <row r="6443" spans="1:3" x14ac:dyDescent="0.25">
      <c r="A6443" t="str">
        <f>"830211678"</f>
        <v>830211678</v>
      </c>
      <c r="B6443" t="str">
        <f>"EHPAD BEAUSEJOUR"</f>
        <v>EHPAD BEAUSEJOUR</v>
      </c>
      <c r="C6443" t="s">
        <v>76</v>
      </c>
    </row>
    <row r="6444" spans="1:3" x14ac:dyDescent="0.25">
      <c r="A6444" t="str">
        <f>"830211702"</f>
        <v>830211702</v>
      </c>
      <c r="B6444" t="str">
        <f>"EHPAD RESIDENCE SAINT HONORAT"</f>
        <v>EHPAD RESIDENCE SAINT HONORAT</v>
      </c>
      <c r="C6444" t="s">
        <v>76</v>
      </c>
    </row>
    <row r="6445" spans="1:3" x14ac:dyDescent="0.25">
      <c r="A6445" t="str">
        <f>"830212080"</f>
        <v>830212080</v>
      </c>
      <c r="B6445" t="str">
        <f>"EHPAD LES ALIZES"</f>
        <v>EHPAD LES ALIZES</v>
      </c>
      <c r="C6445" t="s">
        <v>76</v>
      </c>
    </row>
    <row r="6446" spans="1:3" x14ac:dyDescent="0.25">
      <c r="A6446" t="str">
        <f>"830212106"</f>
        <v>830212106</v>
      </c>
      <c r="B6446" t="str">
        <f>"EHPAD KORIAN LA LOUISIANE"</f>
        <v>EHPAD KORIAN LA LOUISIANE</v>
      </c>
      <c r="C6446" t="s">
        <v>76</v>
      </c>
    </row>
    <row r="6447" spans="1:3" x14ac:dyDescent="0.25">
      <c r="A6447" t="str">
        <f>"830212114"</f>
        <v>830212114</v>
      </c>
      <c r="B6447" t="str">
        <f>"EHPAD RESIDENCE LE BOIS JOLI"</f>
        <v>EHPAD RESIDENCE LE BOIS JOLI</v>
      </c>
      <c r="C6447" t="s">
        <v>76</v>
      </c>
    </row>
    <row r="6448" spans="1:3" x14ac:dyDescent="0.25">
      <c r="A6448" t="str">
        <f>"830212148"</f>
        <v>830212148</v>
      </c>
      <c r="B6448" t="str">
        <f>"EHPAD LA MARQUISANNE II"</f>
        <v>EHPAD LA MARQUISANNE II</v>
      </c>
      <c r="C6448" t="s">
        <v>76</v>
      </c>
    </row>
    <row r="6449" spans="1:3" x14ac:dyDescent="0.25">
      <c r="A6449" t="str">
        <f>"830212155"</f>
        <v>830212155</v>
      </c>
      <c r="B6449" t="str">
        <f>"EHPAD L'HELIOTROPE"</f>
        <v>EHPAD L'HELIOTROPE</v>
      </c>
      <c r="C6449" t="s">
        <v>76</v>
      </c>
    </row>
    <row r="6450" spans="1:3" x14ac:dyDescent="0.25">
      <c r="A6450" t="str">
        <f>"830212411"</f>
        <v>830212411</v>
      </c>
      <c r="B6450" t="str">
        <f>"EHPAD BASTIDE BONNETIERES"</f>
        <v>EHPAD BASTIDE BONNETIERES</v>
      </c>
      <c r="C6450" t="s">
        <v>76</v>
      </c>
    </row>
    <row r="6451" spans="1:3" x14ac:dyDescent="0.25">
      <c r="A6451" t="str">
        <f>"830212429"</f>
        <v>830212429</v>
      </c>
      <c r="B6451" t="str">
        <f>"EHPAD LE VALLON DES ABEILLES"</f>
        <v>EHPAD LE VALLON DES ABEILLES</v>
      </c>
      <c r="C6451" t="s">
        <v>76</v>
      </c>
    </row>
    <row r="6452" spans="1:3" x14ac:dyDescent="0.25">
      <c r="A6452" t="str">
        <f>"830212569"</f>
        <v>830212569</v>
      </c>
      <c r="B6452" t="str">
        <f>"EHPAD LE PARDIGAOU"</f>
        <v>EHPAD LE PARDIGAOU</v>
      </c>
      <c r="C6452" t="s">
        <v>76</v>
      </c>
    </row>
    <row r="6453" spans="1:3" x14ac:dyDescent="0.25">
      <c r="A6453" t="str">
        <f>"830212650"</f>
        <v>830212650</v>
      </c>
      <c r="B6453" t="str">
        <f>"EHPAD L'ENTRAIDE SALESIENNE"</f>
        <v>EHPAD L'ENTRAIDE SALESIENNE</v>
      </c>
      <c r="C6453" t="s">
        <v>76</v>
      </c>
    </row>
    <row r="6454" spans="1:3" x14ac:dyDescent="0.25">
      <c r="A6454" t="str">
        <f>"830212825"</f>
        <v>830212825</v>
      </c>
      <c r="B6454" t="str">
        <f>"EHPAD KORIAN LA PROVENCALE"</f>
        <v>EHPAD KORIAN LA PROVENCALE</v>
      </c>
      <c r="C6454" t="s">
        <v>76</v>
      </c>
    </row>
    <row r="6455" spans="1:3" x14ac:dyDescent="0.25">
      <c r="A6455" t="str">
        <f>"830212874"</f>
        <v>830212874</v>
      </c>
      <c r="B6455" t="str">
        <f>"EHPAD RESIDENCE AIGUE MARINE"</f>
        <v>EHPAD RESIDENCE AIGUE MARINE</v>
      </c>
      <c r="C6455" t="s">
        <v>76</v>
      </c>
    </row>
    <row r="6456" spans="1:3" x14ac:dyDescent="0.25">
      <c r="A6456" t="str">
        <f>"830212916"</f>
        <v>830212916</v>
      </c>
      <c r="B6456" t="str">
        <f>"EHPAD PUBLIC LE SAPHIR"</f>
        <v>EHPAD PUBLIC LE SAPHIR</v>
      </c>
      <c r="C6456" t="s">
        <v>76</v>
      </c>
    </row>
    <row r="6457" spans="1:3" x14ac:dyDescent="0.25">
      <c r="A6457" t="str">
        <f>"830213054"</f>
        <v>830213054</v>
      </c>
      <c r="B6457" t="str">
        <f>"EHPAD RESIDENCE SAINTE PHILOMENE"</f>
        <v>EHPAD RESIDENCE SAINTE PHILOMENE</v>
      </c>
      <c r="C6457" t="s">
        <v>76</v>
      </c>
    </row>
    <row r="6458" spans="1:3" x14ac:dyDescent="0.25">
      <c r="A6458" t="str">
        <f>"830213088"</f>
        <v>830213088</v>
      </c>
      <c r="B6458" t="str">
        <f>"EHPAD LOU JAS"</f>
        <v>EHPAD LOU JAS</v>
      </c>
      <c r="C6458" t="s">
        <v>76</v>
      </c>
    </row>
    <row r="6459" spans="1:3" x14ac:dyDescent="0.25">
      <c r="A6459" t="str">
        <f>"830213435"</f>
        <v>830213435</v>
      </c>
      <c r="B6459" t="str">
        <f>"EHPAD KORIAN RIVES D'ESTEREL"</f>
        <v>EHPAD KORIAN RIVES D'ESTEREL</v>
      </c>
      <c r="C6459" t="s">
        <v>76</v>
      </c>
    </row>
    <row r="6460" spans="1:3" x14ac:dyDescent="0.25">
      <c r="A6460" t="str">
        <f>"830213609"</f>
        <v>830213609</v>
      </c>
      <c r="B6460" t="str">
        <f>"EHPAD LA MARJOLAINE"</f>
        <v>EHPAD LA MARJOLAINE</v>
      </c>
      <c r="C6460" t="s">
        <v>76</v>
      </c>
    </row>
    <row r="6461" spans="1:3" x14ac:dyDescent="0.25">
      <c r="A6461" t="str">
        <f>"830213716"</f>
        <v>830213716</v>
      </c>
      <c r="B6461" t="str">
        <f>"EHPAD LA MINORQUE"</f>
        <v>EHPAD LA MINORQUE</v>
      </c>
      <c r="C6461" t="s">
        <v>76</v>
      </c>
    </row>
    <row r="6462" spans="1:3" x14ac:dyDescent="0.25">
      <c r="A6462" t="str">
        <f>"830213740"</f>
        <v>830213740</v>
      </c>
      <c r="B6462" t="str">
        <f>"MAISON DE FAMILLE BASTIDE GUIRANS"</f>
        <v>MAISON DE FAMILLE BASTIDE GUIRANS</v>
      </c>
      <c r="C6462" t="s">
        <v>76</v>
      </c>
    </row>
    <row r="6463" spans="1:3" x14ac:dyDescent="0.25">
      <c r="A6463" t="str">
        <f>"830213849"</f>
        <v>830213849</v>
      </c>
      <c r="B6463" t="str">
        <f>"EHPAD DU CH DE HYERES"</f>
        <v>EHPAD DU CH DE HYERES</v>
      </c>
      <c r="C6463" t="s">
        <v>76</v>
      </c>
    </row>
    <row r="6464" spans="1:3" x14ac:dyDescent="0.25">
      <c r="A6464" t="str">
        <f>"830213864"</f>
        <v>830213864</v>
      </c>
      <c r="B6464" t="str">
        <f>"EHPAD LA CHENAIE"</f>
        <v>EHPAD LA CHENAIE</v>
      </c>
      <c r="C6464" t="s">
        <v>76</v>
      </c>
    </row>
    <row r="6465" spans="1:3" x14ac:dyDescent="0.25">
      <c r="A6465" t="str">
        <f>"830213872"</f>
        <v>830213872</v>
      </c>
      <c r="B6465" t="str">
        <f>"EHPAD SAINT JACQUES DE PUGET"</f>
        <v>EHPAD SAINT JACQUES DE PUGET</v>
      </c>
      <c r="C6465" t="s">
        <v>76</v>
      </c>
    </row>
    <row r="6466" spans="1:3" x14ac:dyDescent="0.25">
      <c r="A6466" t="str">
        <f>"830213922"</f>
        <v>830213922</v>
      </c>
      <c r="B6466" t="str">
        <f>"EHPAD BELLEVUE"</f>
        <v>EHPAD BELLEVUE</v>
      </c>
      <c r="C6466" t="s">
        <v>76</v>
      </c>
    </row>
    <row r="6467" spans="1:3" x14ac:dyDescent="0.25">
      <c r="A6467" t="str">
        <f>"830213930"</f>
        <v>830213930</v>
      </c>
      <c r="B6467" t="str">
        <f>"EHPAD KORIAN LES PINS BLEUS"</f>
        <v>EHPAD KORIAN LES PINS BLEUS</v>
      </c>
      <c r="C6467" t="s">
        <v>76</v>
      </c>
    </row>
    <row r="6468" spans="1:3" x14ac:dyDescent="0.25">
      <c r="A6468" t="str">
        <f>"830213955"</f>
        <v>830213955</v>
      </c>
      <c r="B6468" t="str">
        <f>"EHPAD  L'ALEXANDRA"</f>
        <v>EHPAD  L'ALEXANDRA</v>
      </c>
      <c r="C6468" t="s">
        <v>76</v>
      </c>
    </row>
    <row r="6469" spans="1:3" x14ac:dyDescent="0.25">
      <c r="A6469" t="str">
        <f>"830214029"</f>
        <v>830214029</v>
      </c>
      <c r="B6469" t="str">
        <f>"EHPAD LES TEMPLIERS"</f>
        <v>EHPAD LES TEMPLIERS</v>
      </c>
      <c r="C6469" t="s">
        <v>76</v>
      </c>
    </row>
    <row r="6470" spans="1:3" x14ac:dyDescent="0.25">
      <c r="A6470" t="str">
        <f>"830214433"</f>
        <v>830214433</v>
      </c>
      <c r="B6470" t="str">
        <f>"EHPAD LES AGAPANTHES"</f>
        <v>EHPAD LES AGAPANTHES</v>
      </c>
      <c r="C6470" t="s">
        <v>76</v>
      </c>
    </row>
    <row r="6471" spans="1:3" x14ac:dyDescent="0.25">
      <c r="A6471" t="str">
        <f>"830214508"</f>
        <v>830214508</v>
      </c>
      <c r="B6471" t="str">
        <f>"EHPAD LES SERVES"</f>
        <v>EHPAD LES SERVES</v>
      </c>
      <c r="C6471" t="s">
        <v>76</v>
      </c>
    </row>
    <row r="6472" spans="1:3" x14ac:dyDescent="0.25">
      <c r="A6472" t="str">
        <f>"830214599"</f>
        <v>830214599</v>
      </c>
      <c r="B6472" t="str">
        <f>"EHPAD NOTRE DAME DE LA PAIX"</f>
        <v>EHPAD NOTRE DAME DE LA PAIX</v>
      </c>
      <c r="C6472" t="s">
        <v>76</v>
      </c>
    </row>
    <row r="6473" spans="1:3" x14ac:dyDescent="0.25">
      <c r="A6473" t="str">
        <f>"830215034"</f>
        <v>830215034</v>
      </c>
      <c r="B6473" t="str">
        <f>"EHPAD RESIDENCE BELLISA"</f>
        <v>EHPAD RESIDENCE BELLISA</v>
      </c>
      <c r="C6473" t="s">
        <v>76</v>
      </c>
    </row>
    <row r="6474" spans="1:3" x14ac:dyDescent="0.25">
      <c r="A6474" t="str">
        <f>"830215042"</f>
        <v>830215042</v>
      </c>
      <c r="B6474" t="str">
        <f>"EHPAD KERIOS"</f>
        <v>EHPAD KERIOS</v>
      </c>
      <c r="C6474" t="s">
        <v>76</v>
      </c>
    </row>
    <row r="6475" spans="1:3" x14ac:dyDescent="0.25">
      <c r="A6475" t="str">
        <f>"830215109"</f>
        <v>830215109</v>
      </c>
      <c r="B6475" t="str">
        <f>"EHPAD TONUS VITAMINE"</f>
        <v>EHPAD TONUS VITAMINE</v>
      </c>
      <c r="C6475" t="s">
        <v>76</v>
      </c>
    </row>
    <row r="6476" spans="1:3" x14ac:dyDescent="0.25">
      <c r="A6476" t="str">
        <f>"830215158"</f>
        <v>830215158</v>
      </c>
      <c r="B6476" t="str">
        <f>"EHPAD L'EDEN ROC"</f>
        <v>EHPAD L'EDEN ROC</v>
      </c>
      <c r="C6476" t="s">
        <v>76</v>
      </c>
    </row>
    <row r="6477" spans="1:3" x14ac:dyDescent="0.25">
      <c r="A6477" t="str">
        <f>"830215174"</f>
        <v>830215174</v>
      </c>
      <c r="B6477" t="str">
        <f>"EHPAD LES MILLE SOLEILS"</f>
        <v>EHPAD LES MILLE SOLEILS</v>
      </c>
      <c r="C6477" t="s">
        <v>76</v>
      </c>
    </row>
    <row r="6478" spans="1:3" x14ac:dyDescent="0.25">
      <c r="A6478" t="str">
        <f>"830215182"</f>
        <v>830215182</v>
      </c>
      <c r="B6478" t="str">
        <f>"EHPAD LES JARDINS DE THALASSA"</f>
        <v>EHPAD LES JARDINS DE THALASSA</v>
      </c>
      <c r="C6478" t="s">
        <v>76</v>
      </c>
    </row>
    <row r="6479" spans="1:3" x14ac:dyDescent="0.25">
      <c r="A6479" t="str">
        <f>"830215273"</f>
        <v>830215273</v>
      </c>
      <c r="B6479" t="str">
        <f>"EHPAD LA BASTIDE DU BAOU"</f>
        <v>EHPAD LA BASTIDE DU BAOU</v>
      </c>
      <c r="C6479" t="s">
        <v>76</v>
      </c>
    </row>
    <row r="6480" spans="1:3" x14ac:dyDescent="0.25">
      <c r="A6480" t="str">
        <f>"830215281"</f>
        <v>830215281</v>
      </c>
      <c r="B6480" t="str">
        <f>"EHPAD LA MAISON DU LAC"</f>
        <v>EHPAD LA MAISON DU LAC</v>
      </c>
      <c r="C6480" t="s">
        <v>76</v>
      </c>
    </row>
    <row r="6481" spans="1:3" x14ac:dyDescent="0.25">
      <c r="A6481" t="str">
        <f>"830215349"</f>
        <v>830215349</v>
      </c>
      <c r="B6481" t="str">
        <f>"EHPAD LES PALMIERS"</f>
        <v>EHPAD LES PALMIERS</v>
      </c>
      <c r="C6481" t="s">
        <v>76</v>
      </c>
    </row>
    <row r="6482" spans="1:3" x14ac:dyDescent="0.25">
      <c r="A6482" t="str">
        <f>"830215372"</f>
        <v>830215372</v>
      </c>
      <c r="B6482" t="str">
        <f>"EHPAD L'ARCHE VAR"</f>
        <v>EHPAD L'ARCHE VAR</v>
      </c>
      <c r="C6482" t="s">
        <v>76</v>
      </c>
    </row>
    <row r="6483" spans="1:3" x14ac:dyDescent="0.25">
      <c r="A6483" t="str">
        <f>"830215539"</f>
        <v>830215539</v>
      </c>
      <c r="B6483" t="str">
        <f>"EHPAD PLENITUDE"</f>
        <v>EHPAD PLENITUDE</v>
      </c>
      <c r="C6483" t="s">
        <v>76</v>
      </c>
    </row>
    <row r="6484" spans="1:3" x14ac:dyDescent="0.25">
      <c r="A6484" t="str">
        <f>"830215612"</f>
        <v>830215612</v>
      </c>
      <c r="B6484" t="str">
        <f>"EHPAD ORPEA L'ATRIUM"</f>
        <v>EHPAD ORPEA L'ATRIUM</v>
      </c>
      <c r="C6484" t="s">
        <v>76</v>
      </c>
    </row>
    <row r="6485" spans="1:3" x14ac:dyDescent="0.25">
      <c r="A6485" t="str">
        <f>"830215711"</f>
        <v>830215711</v>
      </c>
      <c r="B6485" t="str">
        <f>"EHPAD LE PRE DE LA ROQUE"</f>
        <v>EHPAD LE PRE DE LA ROQUE</v>
      </c>
      <c r="C6485" t="s">
        <v>76</v>
      </c>
    </row>
    <row r="6486" spans="1:3" x14ac:dyDescent="0.25">
      <c r="A6486" t="str">
        <f>"830215869"</f>
        <v>830215869</v>
      </c>
      <c r="B6486" t="str">
        <f>"EHPAD KORIAN VILLA EYRAS"</f>
        <v>EHPAD KORIAN VILLA EYRAS</v>
      </c>
      <c r="C6486" t="s">
        <v>76</v>
      </c>
    </row>
    <row r="6487" spans="1:3" x14ac:dyDescent="0.25">
      <c r="A6487" t="str">
        <f>"830216073"</f>
        <v>830216073</v>
      </c>
      <c r="B6487" t="str">
        <f>"EHPAD PUBLIC LE MALMONT"</f>
        <v>EHPAD PUBLIC LE MALMONT</v>
      </c>
      <c r="C6487" t="s">
        <v>76</v>
      </c>
    </row>
    <row r="6488" spans="1:3" x14ac:dyDescent="0.25">
      <c r="A6488" t="str">
        <f>"830216172"</f>
        <v>830216172</v>
      </c>
      <c r="B6488" t="str">
        <f>"EHPAD RENAISSANCE MAYOL"</f>
        <v>EHPAD RENAISSANCE MAYOL</v>
      </c>
      <c r="C6488" t="s">
        <v>76</v>
      </c>
    </row>
    <row r="6489" spans="1:3" x14ac:dyDescent="0.25">
      <c r="A6489" t="str">
        <f>"830216412"</f>
        <v>830216412</v>
      </c>
      <c r="B6489" t="str">
        <f>"EHPAD LES AMIS DES AINES"</f>
        <v>EHPAD LES AMIS DES AINES</v>
      </c>
      <c r="C6489" t="s">
        <v>76</v>
      </c>
    </row>
    <row r="6490" spans="1:3" x14ac:dyDescent="0.25">
      <c r="A6490" t="str">
        <f>"830216545"</f>
        <v>830216545</v>
      </c>
      <c r="B6490" t="str">
        <f>"EHPAD KORIAN LES FONTAINES"</f>
        <v>EHPAD KORIAN LES FONTAINES</v>
      </c>
      <c r="C6490" t="s">
        <v>76</v>
      </c>
    </row>
    <row r="6491" spans="1:3" x14ac:dyDescent="0.25">
      <c r="A6491" t="str">
        <f>"830216586"</f>
        <v>830216586</v>
      </c>
      <c r="B6491" t="str">
        <f>"EHPAD LE NOUVEL AGE"</f>
        <v>EHPAD LE NOUVEL AGE</v>
      </c>
      <c r="C6491" t="s">
        <v>76</v>
      </c>
    </row>
    <row r="6492" spans="1:3" x14ac:dyDescent="0.25">
      <c r="A6492" t="str">
        <f>"840002059"</f>
        <v>840002059</v>
      </c>
      <c r="B6492" t="str">
        <f>"EHPAD ANDRE ESTIENNE"</f>
        <v>EHPAD ANDRE ESTIENNE</v>
      </c>
      <c r="C6492" t="s">
        <v>76</v>
      </c>
    </row>
    <row r="6493" spans="1:3" x14ac:dyDescent="0.25">
      <c r="A6493" t="str">
        <f>"840002067"</f>
        <v>840002067</v>
      </c>
      <c r="B6493" t="str">
        <f>"EHPAD LE SOLEIL COMTADIN"</f>
        <v>EHPAD LE SOLEIL COMTADIN</v>
      </c>
      <c r="C6493" t="s">
        <v>76</v>
      </c>
    </row>
    <row r="6494" spans="1:3" x14ac:dyDescent="0.25">
      <c r="A6494" t="str">
        <f>"840002075"</f>
        <v>840002075</v>
      </c>
      <c r="B6494" t="str">
        <f>"EHPAD CHRISTIAN GONNET"</f>
        <v>EHPAD CHRISTIAN GONNET</v>
      </c>
      <c r="C6494" t="s">
        <v>76</v>
      </c>
    </row>
    <row r="6495" spans="1:3" x14ac:dyDescent="0.25">
      <c r="A6495" t="str">
        <f>"840002083"</f>
        <v>840002083</v>
      </c>
      <c r="B6495" t="str">
        <f>"EHPAD LES SEPT RIVIERES"</f>
        <v>EHPAD LES SEPT RIVIERES</v>
      </c>
      <c r="C6495" t="s">
        <v>76</v>
      </c>
    </row>
    <row r="6496" spans="1:3" x14ac:dyDescent="0.25">
      <c r="A6496" t="str">
        <f>"840002091"</f>
        <v>840002091</v>
      </c>
      <c r="B6496" t="str">
        <f>"EHPAD JEANNE DE BARONCELLI"</f>
        <v>EHPAD JEANNE DE BARONCELLI</v>
      </c>
      <c r="C6496" t="s">
        <v>76</v>
      </c>
    </row>
    <row r="6497" spans="1:3" x14ac:dyDescent="0.25">
      <c r="A6497" t="str">
        <f>"840002109"</f>
        <v>840002109</v>
      </c>
      <c r="B6497" t="str">
        <f>"EHPAD RESIDENCE PROSPER MATHIEU"</f>
        <v>EHPAD RESIDENCE PROSPER MATHIEU</v>
      </c>
      <c r="C6497" t="s">
        <v>76</v>
      </c>
    </row>
    <row r="6498" spans="1:3" x14ac:dyDescent="0.25">
      <c r="A6498" t="str">
        <f>"840002125"</f>
        <v>840002125</v>
      </c>
      <c r="B6498" t="str">
        <f>"EHPAD L'AGE D'OR"</f>
        <v>EHPAD L'AGE D'OR</v>
      </c>
      <c r="C6498" t="s">
        <v>76</v>
      </c>
    </row>
    <row r="6499" spans="1:3" x14ac:dyDescent="0.25">
      <c r="A6499" t="str">
        <f>"840002133"</f>
        <v>840002133</v>
      </c>
      <c r="B6499" t="str">
        <f>"EHPAD INTERCOM. COURTHEZON-JONQUIERES"</f>
        <v>EHPAD INTERCOM. COURTHEZON-JONQUIERES</v>
      </c>
      <c r="C6499" t="s">
        <v>76</v>
      </c>
    </row>
    <row r="6500" spans="1:3" x14ac:dyDescent="0.25">
      <c r="A6500" t="str">
        <f>"840002141"</f>
        <v>840002141</v>
      </c>
      <c r="B6500" t="str">
        <f>"EHPAD L'OUSTALET"</f>
        <v>EHPAD L'OUSTALET</v>
      </c>
      <c r="C6500" t="s">
        <v>76</v>
      </c>
    </row>
    <row r="6501" spans="1:3" x14ac:dyDescent="0.25">
      <c r="A6501" t="str">
        <f>"840002158"</f>
        <v>840002158</v>
      </c>
      <c r="B6501" t="str">
        <f>"EHPAD HIPPOLYTE SAUTEL"</f>
        <v>EHPAD HIPPOLYTE SAUTEL</v>
      </c>
      <c r="C6501" t="s">
        <v>76</v>
      </c>
    </row>
    <row r="6502" spans="1:3" x14ac:dyDescent="0.25">
      <c r="A6502" t="str">
        <f>"840002166"</f>
        <v>840002166</v>
      </c>
      <c r="B6502" t="str">
        <f>"EHPAD L ENSOULEIADO"</f>
        <v>EHPAD L ENSOULEIADO</v>
      </c>
      <c r="C6502" t="s">
        <v>76</v>
      </c>
    </row>
    <row r="6503" spans="1:3" x14ac:dyDescent="0.25">
      <c r="A6503" t="str">
        <f>"840002174"</f>
        <v>840002174</v>
      </c>
      <c r="B6503" t="str">
        <f>"EHPAD LE TILLEUL D'OR"</f>
        <v>EHPAD LE TILLEUL D'OR</v>
      </c>
      <c r="C6503" t="s">
        <v>76</v>
      </c>
    </row>
    <row r="6504" spans="1:3" x14ac:dyDescent="0.25">
      <c r="A6504" t="str">
        <f>"840002182"</f>
        <v>840002182</v>
      </c>
      <c r="B6504" t="str">
        <f>"EHPAD LES ARCADES"</f>
        <v>EHPAD LES ARCADES</v>
      </c>
      <c r="C6504" t="s">
        <v>76</v>
      </c>
    </row>
    <row r="6505" spans="1:3" x14ac:dyDescent="0.25">
      <c r="A6505" t="str">
        <f>"840002190"</f>
        <v>840002190</v>
      </c>
      <c r="B6505" t="str">
        <f>"EHPAD JEHAN RIPPERT"</f>
        <v>EHPAD JEHAN RIPPERT</v>
      </c>
      <c r="C6505" t="s">
        <v>76</v>
      </c>
    </row>
    <row r="6506" spans="1:3" x14ac:dyDescent="0.25">
      <c r="A6506" t="str">
        <f>"840002208"</f>
        <v>840002208</v>
      </c>
      <c r="B6506" t="str">
        <f>"EHPAD  ANNE DE PONTE"</f>
        <v>EHPAD  ANNE DE PONTE</v>
      </c>
      <c r="C6506" t="s">
        <v>76</v>
      </c>
    </row>
    <row r="6507" spans="1:3" x14ac:dyDescent="0.25">
      <c r="A6507" t="str">
        <f>"840002216"</f>
        <v>840002216</v>
      </c>
      <c r="B6507" t="str">
        <f>"EHPAD AIME PETRE"</f>
        <v>EHPAD AIME PETRE</v>
      </c>
      <c r="C6507" t="s">
        <v>76</v>
      </c>
    </row>
    <row r="6508" spans="1:3" x14ac:dyDescent="0.25">
      <c r="A6508" t="str">
        <f>"840002224"</f>
        <v>840002224</v>
      </c>
      <c r="B6508" t="str">
        <f>"EHPAD PUBLIC LES CIGALES"</f>
        <v>EHPAD PUBLIC LES CIGALES</v>
      </c>
      <c r="C6508" t="s">
        <v>76</v>
      </c>
    </row>
    <row r="6509" spans="1:3" x14ac:dyDescent="0.25">
      <c r="A6509" t="str">
        <f>"840002422"</f>
        <v>840002422</v>
      </c>
      <c r="B6509" t="str">
        <f>"EHPAD L'ENCLOS SAINT JEAN"</f>
        <v>EHPAD L'ENCLOS SAINT JEAN</v>
      </c>
      <c r="C6509" t="s">
        <v>76</v>
      </c>
    </row>
    <row r="6510" spans="1:3" x14ac:dyDescent="0.25">
      <c r="A6510" t="str">
        <f>"840002430"</f>
        <v>840002430</v>
      </c>
      <c r="B6510" t="str">
        <f>"EHPAD LE SACRE COEUR"</f>
        <v>EHPAD LE SACRE COEUR</v>
      </c>
      <c r="C6510" t="s">
        <v>76</v>
      </c>
    </row>
    <row r="6511" spans="1:3" x14ac:dyDescent="0.25">
      <c r="A6511" t="str">
        <f>"840002448"</f>
        <v>840002448</v>
      </c>
      <c r="B6511" t="str">
        <f>"EHPAD NOTRE DAME DE LA FERRAGE"</f>
        <v>EHPAD NOTRE DAME DE LA FERRAGE</v>
      </c>
      <c r="C6511" t="s">
        <v>76</v>
      </c>
    </row>
    <row r="6512" spans="1:3" x14ac:dyDescent="0.25">
      <c r="A6512" t="str">
        <f>"840002505"</f>
        <v>840002505</v>
      </c>
      <c r="B6512" t="str">
        <f>"EHPAD  RAOUL ROSE"</f>
        <v>EHPAD  RAOUL ROSE</v>
      </c>
      <c r="C6512" t="s">
        <v>76</v>
      </c>
    </row>
    <row r="6513" spans="1:3" x14ac:dyDescent="0.25">
      <c r="A6513" t="str">
        <f>"840006076"</f>
        <v>840006076</v>
      </c>
      <c r="B6513" t="str">
        <f>"EHPAD LA LEGUE DU CH DE CARPENTRAS"</f>
        <v>EHPAD LA LEGUE DU CH DE CARPENTRAS</v>
      </c>
      <c r="C6513" t="s">
        <v>76</v>
      </c>
    </row>
    <row r="6514" spans="1:3" x14ac:dyDescent="0.25">
      <c r="A6514" t="str">
        <f>"840006084"</f>
        <v>840006084</v>
      </c>
      <c r="B6514" t="str">
        <f>"EHPAD LES CAPUCINS"</f>
        <v>EHPAD LES CAPUCINS</v>
      </c>
      <c r="C6514" t="s">
        <v>76</v>
      </c>
    </row>
    <row r="6515" spans="1:3" x14ac:dyDescent="0.25">
      <c r="A6515" t="str">
        <f>"840006118"</f>
        <v>840006118</v>
      </c>
      <c r="B6515" t="str">
        <f>"EHPAD PUBLIC ALBERT ARTILLAND"</f>
        <v>EHPAD PUBLIC ALBERT ARTILLAND</v>
      </c>
      <c r="C6515" t="s">
        <v>76</v>
      </c>
    </row>
    <row r="6516" spans="1:3" x14ac:dyDescent="0.25">
      <c r="A6516" t="str">
        <f>"840006183"</f>
        <v>840006183</v>
      </c>
      <c r="B6516" t="str">
        <f>"EHPAD LE CENTENAIRE"</f>
        <v>EHPAD LE CENTENAIRE</v>
      </c>
      <c r="C6516" t="s">
        <v>76</v>
      </c>
    </row>
    <row r="6517" spans="1:3" x14ac:dyDescent="0.25">
      <c r="A6517" t="str">
        <f>"840006191"</f>
        <v>840006191</v>
      </c>
      <c r="B6517" t="str">
        <f>"EHPAD MAISON SAINT VINCENT"</f>
        <v>EHPAD MAISON SAINT VINCENT</v>
      </c>
      <c r="C6517" t="s">
        <v>76</v>
      </c>
    </row>
    <row r="6518" spans="1:3" x14ac:dyDescent="0.25">
      <c r="A6518" t="str">
        <f>"840006522"</f>
        <v>840006522</v>
      </c>
      <c r="B6518" t="str">
        <f>"EHPAD VILLA BETHANIE"</f>
        <v>EHPAD VILLA BETHANIE</v>
      </c>
      <c r="C6518" t="s">
        <v>76</v>
      </c>
    </row>
    <row r="6519" spans="1:3" x14ac:dyDescent="0.25">
      <c r="A6519" t="str">
        <f>"840007504"</f>
        <v>840007504</v>
      </c>
      <c r="B6519" t="str">
        <f>"EHPAD LA MADELEINE DU CH D'APT"</f>
        <v>EHPAD LA MADELEINE DU CH D'APT</v>
      </c>
      <c r="C6519" t="s">
        <v>76</v>
      </c>
    </row>
    <row r="6520" spans="1:3" x14ac:dyDescent="0.25">
      <c r="A6520" t="str">
        <f>"840007645"</f>
        <v>840007645</v>
      </c>
      <c r="B6520" t="str">
        <f>"EHPAD FREDERIC MISTRAL"</f>
        <v>EHPAD FREDERIC MISTRAL</v>
      </c>
      <c r="C6520" t="s">
        <v>76</v>
      </c>
    </row>
    <row r="6521" spans="1:3" x14ac:dyDescent="0.25">
      <c r="A6521" t="str">
        <f>"840007660"</f>
        <v>840007660</v>
      </c>
      <c r="B6521" t="str">
        <f>"EHPAD LES ALLEES DE CHABRIERES"</f>
        <v>EHPAD LES ALLEES DE CHABRIERES</v>
      </c>
      <c r="C6521" t="s">
        <v>76</v>
      </c>
    </row>
    <row r="6522" spans="1:3" x14ac:dyDescent="0.25">
      <c r="A6522" t="str">
        <f>"840007678"</f>
        <v>840007678</v>
      </c>
      <c r="B6522" t="str">
        <f>"EHPAD DU CH DE GORDES"</f>
        <v>EHPAD DU CH DE GORDES</v>
      </c>
      <c r="C6522" t="s">
        <v>76</v>
      </c>
    </row>
    <row r="6523" spans="1:3" x14ac:dyDescent="0.25">
      <c r="A6523" t="str">
        <f>"840007694"</f>
        <v>840007694</v>
      </c>
      <c r="B6523" t="str">
        <f>"EHPAD DU CENTRE HOSPITALIER SAULT"</f>
        <v>EHPAD DU CENTRE HOSPITALIER SAULT</v>
      </c>
      <c r="C6523" t="s">
        <v>76</v>
      </c>
    </row>
    <row r="6524" spans="1:3" x14ac:dyDescent="0.25">
      <c r="A6524" t="str">
        <f>"840007785"</f>
        <v>840007785</v>
      </c>
      <c r="B6524" t="str">
        <f>"EHPAD RESIDENCE BEAU SOLEIL"</f>
        <v>EHPAD RESIDENCE BEAU SOLEIL</v>
      </c>
      <c r="C6524" t="s">
        <v>76</v>
      </c>
    </row>
    <row r="6525" spans="1:3" x14ac:dyDescent="0.25">
      <c r="A6525" t="str">
        <f>"840007959"</f>
        <v>840007959</v>
      </c>
      <c r="B6525" t="str">
        <f>"RESIDENCE LES CHATEAUX DE PROVENCE"</f>
        <v>RESIDENCE LES CHATEAUX DE PROVENCE</v>
      </c>
      <c r="C6525" t="s">
        <v>76</v>
      </c>
    </row>
    <row r="6526" spans="1:3" x14ac:dyDescent="0.25">
      <c r="A6526" t="str">
        <f>"840008379"</f>
        <v>840008379</v>
      </c>
      <c r="B6526" t="str">
        <f>"EHPAD LA MAISON PAISIBLE"</f>
        <v>EHPAD LA MAISON PAISIBLE</v>
      </c>
      <c r="C6526" t="s">
        <v>76</v>
      </c>
    </row>
    <row r="6527" spans="1:3" x14ac:dyDescent="0.25">
      <c r="A6527" t="str">
        <f>"840011019"</f>
        <v>840011019</v>
      </c>
      <c r="B6527" t="str">
        <f>"EHPAD RESIDENCE SAINT ROCH"</f>
        <v>EHPAD RESIDENCE SAINT ROCH</v>
      </c>
      <c r="C6527" t="s">
        <v>76</v>
      </c>
    </row>
    <row r="6528" spans="1:3" x14ac:dyDescent="0.25">
      <c r="A6528" t="str">
        <f>"840011415"</f>
        <v>840011415</v>
      </c>
      <c r="B6528" t="str">
        <f>"EHPAD LA DEYMARDE"</f>
        <v>EHPAD LA DEYMARDE</v>
      </c>
      <c r="C6528" t="s">
        <v>76</v>
      </c>
    </row>
    <row r="6529" spans="1:3" x14ac:dyDescent="0.25">
      <c r="A6529" t="str">
        <f>"840011670"</f>
        <v>840011670</v>
      </c>
      <c r="B6529" t="str">
        <f>"EHPAD LA BASTIDE DES LAVANDINS"</f>
        <v>EHPAD LA BASTIDE DES LAVANDINS</v>
      </c>
      <c r="C6529" t="s">
        <v>76</v>
      </c>
    </row>
    <row r="6530" spans="1:3" x14ac:dyDescent="0.25">
      <c r="A6530" t="str">
        <f>"840011688"</f>
        <v>840011688</v>
      </c>
      <c r="B6530" t="str">
        <f>"RESIDENCE LES TERRASSES DU VENTOUX"</f>
        <v>RESIDENCE LES TERRASSES DU VENTOUX</v>
      </c>
      <c r="C6530" t="s">
        <v>76</v>
      </c>
    </row>
    <row r="6531" spans="1:3" x14ac:dyDescent="0.25">
      <c r="A6531" t="str">
        <f>"840011696"</f>
        <v>840011696</v>
      </c>
      <c r="B6531" t="str">
        <f>"EHPAD L'ATRIUM"</f>
        <v>EHPAD L'ATRIUM</v>
      </c>
      <c r="C6531" t="s">
        <v>76</v>
      </c>
    </row>
    <row r="6532" spans="1:3" x14ac:dyDescent="0.25">
      <c r="A6532" t="str">
        <f>"840011704"</f>
        <v>840011704</v>
      </c>
      <c r="B6532" t="str">
        <f>"EHPAD RESIDENCE LE POMMEROL"</f>
        <v>EHPAD RESIDENCE LE POMMEROL</v>
      </c>
      <c r="C6532" t="s">
        <v>76</v>
      </c>
    </row>
    <row r="6533" spans="1:3" x14ac:dyDescent="0.25">
      <c r="A6533" t="str">
        <f>"840011720"</f>
        <v>840011720</v>
      </c>
      <c r="B6533" t="str">
        <f>"EHPAD RESIDENCE SAINT ANDRE"</f>
        <v>EHPAD RESIDENCE SAINT ANDRE</v>
      </c>
      <c r="C6533" t="s">
        <v>76</v>
      </c>
    </row>
    <row r="6534" spans="1:3" x14ac:dyDescent="0.25">
      <c r="A6534" t="str">
        <f>"840011738"</f>
        <v>840011738</v>
      </c>
      <c r="B6534" t="str">
        <f>"EHPAD LA BASTIDE DU LUBERON"</f>
        <v>EHPAD LA BASTIDE DU LUBERON</v>
      </c>
      <c r="C6534" t="s">
        <v>76</v>
      </c>
    </row>
    <row r="6535" spans="1:3" x14ac:dyDescent="0.25">
      <c r="A6535" t="str">
        <f>"840011746"</f>
        <v>840011746</v>
      </c>
      <c r="B6535" t="str">
        <f>"EHPAD LES PORTES DU LUBERON"</f>
        <v>EHPAD LES PORTES DU LUBERON</v>
      </c>
      <c r="C6535" t="s">
        <v>76</v>
      </c>
    </row>
    <row r="6536" spans="1:3" x14ac:dyDescent="0.25">
      <c r="A6536" t="str">
        <f>"840011753"</f>
        <v>840011753</v>
      </c>
      <c r="B6536" t="str">
        <f>"EHPAD LES SEREINS"</f>
        <v>EHPAD LES SEREINS</v>
      </c>
      <c r="C6536" t="s">
        <v>76</v>
      </c>
    </row>
    <row r="6537" spans="1:3" x14ac:dyDescent="0.25">
      <c r="A6537" t="str">
        <f>"840011795"</f>
        <v>840011795</v>
      </c>
      <c r="B6537" t="str">
        <f>"EHPAD LES CHESNAIES"</f>
        <v>EHPAD LES CHESNAIES</v>
      </c>
      <c r="C6537" t="s">
        <v>76</v>
      </c>
    </row>
    <row r="6538" spans="1:3" x14ac:dyDescent="0.25">
      <c r="A6538" t="str">
        <f>"840011803"</f>
        <v>840011803</v>
      </c>
      <c r="B6538" t="str">
        <f>"EHPAD RESIDENCE SAINT LOUIS"</f>
        <v>EHPAD RESIDENCE SAINT LOUIS</v>
      </c>
      <c r="C6538" t="s">
        <v>76</v>
      </c>
    </row>
    <row r="6539" spans="1:3" x14ac:dyDescent="0.25">
      <c r="A6539" t="str">
        <f>"840012223"</f>
        <v>840012223</v>
      </c>
      <c r="B6539" t="str">
        <f>"EHPAD RESIDENCE DU PAYS D'AIGUES"</f>
        <v>EHPAD RESIDENCE DU PAYS D'AIGUES</v>
      </c>
      <c r="C6539" t="s">
        <v>76</v>
      </c>
    </row>
    <row r="6540" spans="1:3" x14ac:dyDescent="0.25">
      <c r="A6540" t="str">
        <f>"840012678"</f>
        <v>840012678</v>
      </c>
      <c r="B6540" t="str">
        <f>"EHPAD DU CH DE L'ISLE SUR SORGUE"</f>
        <v>EHPAD DU CH DE L'ISLE SUR SORGUE</v>
      </c>
      <c r="C6540" t="s">
        <v>76</v>
      </c>
    </row>
    <row r="6541" spans="1:3" x14ac:dyDescent="0.25">
      <c r="A6541" t="str">
        <f>"840012751"</f>
        <v>840012751</v>
      </c>
      <c r="B6541" t="str">
        <f>"EHPAD LES AMANDINES"</f>
        <v>EHPAD LES AMANDINES</v>
      </c>
      <c r="C6541" t="s">
        <v>76</v>
      </c>
    </row>
    <row r="6542" spans="1:3" x14ac:dyDescent="0.25">
      <c r="A6542" t="str">
        <f>"840012850"</f>
        <v>840012850</v>
      </c>
      <c r="B6542" t="str">
        <f>"EHPAD DU CHI CAVAILLON LAURIS"</f>
        <v>EHPAD DU CHI CAVAILLON LAURIS</v>
      </c>
      <c r="C6542" t="s">
        <v>76</v>
      </c>
    </row>
    <row r="6543" spans="1:3" x14ac:dyDescent="0.25">
      <c r="A6543" t="str">
        <f>"840013767"</f>
        <v>840013767</v>
      </c>
      <c r="B6543" t="str">
        <f>"EHPAD L'ALBIONNAISE"</f>
        <v>EHPAD L'ALBIONNAISE</v>
      </c>
      <c r="C6543" t="s">
        <v>76</v>
      </c>
    </row>
    <row r="6544" spans="1:3" x14ac:dyDescent="0.25">
      <c r="A6544" t="str">
        <f>"840014526"</f>
        <v>840014526</v>
      </c>
      <c r="B6544" t="str">
        <f>"EHPAD LA SOUSTO"</f>
        <v>EHPAD LA SOUSTO</v>
      </c>
      <c r="C6544" t="s">
        <v>76</v>
      </c>
    </row>
    <row r="6545" spans="1:3" x14ac:dyDescent="0.25">
      <c r="A6545" t="str">
        <f>"840015598"</f>
        <v>840015598</v>
      </c>
      <c r="B6545" t="str">
        <f>"EHPAD LE CLOS DE LA GARANCE"</f>
        <v>EHPAD LE CLOS DE LA GARANCE</v>
      </c>
      <c r="C6545" t="s">
        <v>76</v>
      </c>
    </row>
    <row r="6546" spans="1:3" x14ac:dyDescent="0.25">
      <c r="A6546" t="str">
        <f>"840016794"</f>
        <v>840016794</v>
      </c>
      <c r="B6546" t="str">
        <f>"EHPAD RESIDENCE SAINT ROCH"</f>
        <v>EHPAD RESIDENCE SAINT ROCH</v>
      </c>
      <c r="C6546" t="s">
        <v>76</v>
      </c>
    </row>
    <row r="6547" spans="1:3" x14ac:dyDescent="0.25">
      <c r="A6547" t="str">
        <f>"840017289"</f>
        <v>840017289</v>
      </c>
      <c r="B6547" t="str">
        <f>"EHPAD L'OUSTAU DE LEO"</f>
        <v>EHPAD L'OUSTAU DE LEO</v>
      </c>
      <c r="C6547" t="s">
        <v>76</v>
      </c>
    </row>
    <row r="6548" spans="1:3" x14ac:dyDescent="0.25">
      <c r="A6548" t="str">
        <f>"840017693"</f>
        <v>840017693</v>
      </c>
      <c r="B6548" t="str">
        <f>"EHPAD LE CLOS DES LAVANDES"</f>
        <v>EHPAD LE CLOS DES LAVANDES</v>
      </c>
      <c r="C6548" t="s">
        <v>76</v>
      </c>
    </row>
    <row r="6549" spans="1:3" x14ac:dyDescent="0.25">
      <c r="A6549" t="str">
        <f>"840017941"</f>
        <v>840017941</v>
      </c>
      <c r="B6549" t="str">
        <f>"EHPAD DU CHI CAVAILLON LAURIS"</f>
        <v>EHPAD DU CHI CAVAILLON LAURIS</v>
      </c>
      <c r="C6549" t="s">
        <v>76</v>
      </c>
    </row>
    <row r="6550" spans="1:3" x14ac:dyDescent="0.25">
      <c r="A6550" t="str">
        <f>"850000423"</f>
        <v>850000423</v>
      </c>
      <c r="B6550" t="str">
        <f>"EHPAD L'EQUAIZIERE"</f>
        <v>EHPAD L'EQUAIZIERE</v>
      </c>
      <c r="C6550" t="s">
        <v>78</v>
      </c>
    </row>
    <row r="6551" spans="1:3" x14ac:dyDescent="0.25">
      <c r="A6551" t="str">
        <f>"850002015"</f>
        <v>850002015</v>
      </c>
      <c r="B6551" t="str">
        <f>"EHPAD MULTISITES TERRES DE MONTAIGU"</f>
        <v>EHPAD MULTISITES TERRES DE MONTAIGU</v>
      </c>
      <c r="C6551" t="s">
        <v>78</v>
      </c>
    </row>
    <row r="6552" spans="1:3" x14ac:dyDescent="0.25">
      <c r="A6552" t="str">
        <f>"850002155"</f>
        <v>850002155</v>
      </c>
      <c r="B6552" t="str">
        <f>"EHPAD LES MATHURINS"</f>
        <v>EHPAD LES MATHURINS</v>
      </c>
      <c r="C6552" t="s">
        <v>78</v>
      </c>
    </row>
    <row r="6553" spans="1:3" x14ac:dyDescent="0.25">
      <c r="A6553" t="str">
        <f>"850002163"</f>
        <v>850002163</v>
      </c>
      <c r="B6553" t="str">
        <f>"EHPAD LA REYNERIE"</f>
        <v>EHPAD LA REYNERIE</v>
      </c>
      <c r="C6553" t="s">
        <v>78</v>
      </c>
    </row>
    <row r="6554" spans="1:3" x14ac:dyDescent="0.25">
      <c r="A6554" t="str">
        <f>"850002171"</f>
        <v>850002171</v>
      </c>
      <c r="B6554" t="str">
        <f>"EHPAD PAYRAUDEAU"</f>
        <v>EHPAD PAYRAUDEAU</v>
      </c>
      <c r="C6554" t="s">
        <v>78</v>
      </c>
    </row>
    <row r="6555" spans="1:3" x14ac:dyDescent="0.25">
      <c r="A6555" t="str">
        <f>"850002189"</f>
        <v>850002189</v>
      </c>
      <c r="B6555" t="str">
        <f>"EHPAD LES ROCHES"</f>
        <v>EHPAD LES ROCHES</v>
      </c>
      <c r="C6555" t="s">
        <v>78</v>
      </c>
    </row>
    <row r="6556" spans="1:3" x14ac:dyDescent="0.25">
      <c r="A6556" t="str">
        <f>"850002197"</f>
        <v>850002197</v>
      </c>
      <c r="B6556" t="str">
        <f>"EHPAD RESIDENCE AU FIL DES MAINES"</f>
        <v>EHPAD RESIDENCE AU FIL DES MAINES</v>
      </c>
      <c r="C6556" t="s">
        <v>78</v>
      </c>
    </row>
    <row r="6557" spans="1:3" x14ac:dyDescent="0.25">
      <c r="A6557" t="str">
        <f>"850002213"</f>
        <v>850002213</v>
      </c>
      <c r="B6557" t="str">
        <f>"EHPAD RESIDENCE AU FIL DES MAINES"</f>
        <v>EHPAD RESIDENCE AU FIL DES MAINES</v>
      </c>
      <c r="C6557" t="s">
        <v>78</v>
      </c>
    </row>
    <row r="6558" spans="1:3" x14ac:dyDescent="0.25">
      <c r="A6558" t="str">
        <f>"850002221"</f>
        <v>850002221</v>
      </c>
      <c r="B6558" t="str">
        <f>"EHPAD MONTFORT"</f>
        <v>EHPAD MONTFORT</v>
      </c>
      <c r="C6558" t="s">
        <v>78</v>
      </c>
    </row>
    <row r="6559" spans="1:3" x14ac:dyDescent="0.25">
      <c r="A6559" t="str">
        <f>"850002254"</f>
        <v>850002254</v>
      </c>
      <c r="B6559" t="str">
        <f>"EHPAD MULTISITE VENDEE SEVRE AUTISE"</f>
        <v>EHPAD MULTISITE VENDEE SEVRE AUTISE</v>
      </c>
      <c r="C6559" t="s">
        <v>78</v>
      </c>
    </row>
    <row r="6560" spans="1:3" x14ac:dyDescent="0.25">
      <c r="A6560" t="str">
        <f>"850002296"</f>
        <v>850002296</v>
      </c>
      <c r="B6560" t="str">
        <f>"EHPAD SAINT PIERRE"</f>
        <v>EHPAD SAINT PIERRE</v>
      </c>
      <c r="C6560" t="s">
        <v>78</v>
      </c>
    </row>
    <row r="6561" spans="1:3" x14ac:dyDescent="0.25">
      <c r="A6561" t="str">
        <f>"850002429"</f>
        <v>850002429</v>
      </c>
      <c r="B6561" t="str">
        <f>"EHPAD ETOILE DU SOIR"</f>
        <v>EHPAD ETOILE DU SOIR</v>
      </c>
      <c r="C6561" t="s">
        <v>78</v>
      </c>
    </row>
    <row r="6562" spans="1:3" x14ac:dyDescent="0.25">
      <c r="A6562" t="str">
        <f>"850003088"</f>
        <v>850003088</v>
      </c>
      <c r="B6562" t="str">
        <f>"EHPAD PAUL BOUHIER"</f>
        <v>EHPAD PAUL BOUHIER</v>
      </c>
      <c r="C6562" t="s">
        <v>78</v>
      </c>
    </row>
    <row r="6563" spans="1:3" x14ac:dyDescent="0.25">
      <c r="A6563" t="str">
        <f>"850003096"</f>
        <v>850003096</v>
      </c>
      <c r="B6563" t="str">
        <f>"EHPAD VILLA BENETO"</f>
        <v>EHPAD VILLA BENETO</v>
      </c>
      <c r="C6563" t="s">
        <v>78</v>
      </c>
    </row>
    <row r="6564" spans="1:3" x14ac:dyDescent="0.25">
      <c r="A6564" t="str">
        <f>"850003104"</f>
        <v>850003104</v>
      </c>
      <c r="B6564" t="str">
        <f>"EHPAD LES PICTONS"</f>
        <v>EHPAD LES PICTONS</v>
      </c>
      <c r="C6564" t="s">
        <v>78</v>
      </c>
    </row>
    <row r="6565" spans="1:3" x14ac:dyDescent="0.25">
      <c r="A6565" t="str">
        <f>"850003112"</f>
        <v>850003112</v>
      </c>
      <c r="B6565" t="str">
        <f>"EHPAD BEAUSEJOUR"</f>
        <v>EHPAD BEAUSEJOUR</v>
      </c>
      <c r="C6565" t="s">
        <v>78</v>
      </c>
    </row>
    <row r="6566" spans="1:3" x14ac:dyDescent="0.25">
      <c r="A6566" t="str">
        <f>"850003120"</f>
        <v>850003120</v>
      </c>
      <c r="B6566" t="str">
        <f>"EHPAD MULTISITES PAYS DE CHANTONNAY"</f>
        <v>EHPAD MULTISITES PAYS DE CHANTONNAY</v>
      </c>
      <c r="C6566" t="s">
        <v>78</v>
      </c>
    </row>
    <row r="6567" spans="1:3" x14ac:dyDescent="0.25">
      <c r="A6567" t="str">
        <f>"850003138"</f>
        <v>850003138</v>
      </c>
      <c r="B6567" t="str">
        <f>"EHPAD BON ACCUEIL"</f>
        <v>EHPAD BON ACCUEIL</v>
      </c>
      <c r="C6567" t="s">
        <v>78</v>
      </c>
    </row>
    <row r="6568" spans="1:3" x14ac:dyDescent="0.25">
      <c r="A6568" t="str">
        <f>"850003146"</f>
        <v>850003146</v>
      </c>
      <c r="B6568" t="str">
        <f>"EHPAD LES MIMOSAS"</f>
        <v>EHPAD LES MIMOSAS</v>
      </c>
      <c r="C6568" t="s">
        <v>78</v>
      </c>
    </row>
    <row r="6569" spans="1:3" x14ac:dyDescent="0.25">
      <c r="A6569" t="str">
        <f>"850003153"</f>
        <v>850003153</v>
      </c>
      <c r="B6569" t="str">
        <f>"EHPAD LA FONTAINE DU JEU"</f>
        <v>EHPAD LA FONTAINE DU JEU</v>
      </c>
      <c r="C6569" t="s">
        <v>78</v>
      </c>
    </row>
    <row r="6570" spans="1:3" x14ac:dyDescent="0.25">
      <c r="A6570" t="str">
        <f>"850003161"</f>
        <v>850003161</v>
      </c>
      <c r="B6570" t="str">
        <f>"EHPAD BELLEVUE"</f>
        <v>EHPAD BELLEVUE</v>
      </c>
      <c r="C6570" t="s">
        <v>78</v>
      </c>
    </row>
    <row r="6571" spans="1:3" x14ac:dyDescent="0.25">
      <c r="A6571" t="str">
        <f>"850003179"</f>
        <v>850003179</v>
      </c>
      <c r="B6571" t="str">
        <f>"EHPAD LES CHENES VERTS"</f>
        <v>EHPAD LES CHENES VERTS</v>
      </c>
      <c r="C6571" t="s">
        <v>78</v>
      </c>
    </row>
    <row r="6572" spans="1:3" x14ac:dyDescent="0.25">
      <c r="A6572" t="str">
        <f>"850003187"</f>
        <v>850003187</v>
      </c>
      <c r="B6572" t="str">
        <f>"EHPAD LES BRUYERES"</f>
        <v>EHPAD LES BRUYERES</v>
      </c>
      <c r="C6572" t="s">
        <v>78</v>
      </c>
    </row>
    <row r="6573" spans="1:3" x14ac:dyDescent="0.25">
      <c r="A6573" t="str">
        <f>"850003195"</f>
        <v>850003195</v>
      </c>
      <c r="B6573" t="str">
        <f>"EHPAD SAINTE ANNE"</f>
        <v>EHPAD SAINTE ANNE</v>
      </c>
      <c r="C6573" t="s">
        <v>78</v>
      </c>
    </row>
    <row r="6574" spans="1:3" x14ac:dyDescent="0.25">
      <c r="A6574" t="str">
        <f>"850003203"</f>
        <v>850003203</v>
      </c>
      <c r="B6574" t="str">
        <f>"EHPAD LES ARDILLERS"</f>
        <v>EHPAD LES ARDILLERS</v>
      </c>
      <c r="C6574" t="s">
        <v>78</v>
      </c>
    </row>
    <row r="6575" spans="1:3" x14ac:dyDescent="0.25">
      <c r="A6575" t="str">
        <f>"850003211"</f>
        <v>850003211</v>
      </c>
      <c r="B6575" t="str">
        <f>"EHPAD BETHANIE"</f>
        <v>EHPAD BETHANIE</v>
      </c>
      <c r="C6575" t="s">
        <v>78</v>
      </c>
    </row>
    <row r="6576" spans="1:3" x14ac:dyDescent="0.25">
      <c r="A6576" t="str">
        <f>"850003229"</f>
        <v>850003229</v>
      </c>
      <c r="B6576" t="str">
        <f>"EHPAD L'ERMITAGE"</f>
        <v>EHPAD L'ERMITAGE</v>
      </c>
      <c r="C6576" t="s">
        <v>78</v>
      </c>
    </row>
    <row r="6577" spans="1:3" x14ac:dyDescent="0.25">
      <c r="A6577" t="str">
        <f>"850003237"</f>
        <v>850003237</v>
      </c>
      <c r="B6577" t="str">
        <f>"EHPAD HENRI PANETIER"</f>
        <v>EHPAD HENRI PANETIER</v>
      </c>
      <c r="C6577" t="s">
        <v>78</v>
      </c>
    </row>
    <row r="6578" spans="1:3" x14ac:dyDescent="0.25">
      <c r="A6578" t="str">
        <f>"850003245"</f>
        <v>850003245</v>
      </c>
      <c r="B6578" t="str">
        <f>"EHPAD MULTISITE PISSOTTE-VOUVANT"</f>
        <v>EHPAD MULTISITE PISSOTTE-VOUVANT</v>
      </c>
      <c r="C6578" t="s">
        <v>78</v>
      </c>
    </row>
    <row r="6579" spans="1:3" x14ac:dyDescent="0.25">
      <c r="A6579" t="str">
        <f>"850003252"</f>
        <v>850003252</v>
      </c>
      <c r="B6579" t="str">
        <f>"EHPAD YVES COUGNAUD"</f>
        <v>EHPAD YVES COUGNAUD</v>
      </c>
      <c r="C6579" t="s">
        <v>78</v>
      </c>
    </row>
    <row r="6580" spans="1:3" x14ac:dyDescent="0.25">
      <c r="A6580" t="str">
        <f>"850003260"</f>
        <v>850003260</v>
      </c>
      <c r="B6580" t="str">
        <f>"EHPAD L'ARBRASEVE"</f>
        <v>EHPAD L'ARBRASEVE</v>
      </c>
      <c r="C6580" t="s">
        <v>78</v>
      </c>
    </row>
    <row r="6581" spans="1:3" x14ac:dyDescent="0.25">
      <c r="A6581" t="str">
        <f>"850003278"</f>
        <v>850003278</v>
      </c>
      <c r="B6581" t="str">
        <f>"EHPAD ANDRE BOUTELIER"</f>
        <v>EHPAD ANDRE BOUTELIER</v>
      </c>
      <c r="C6581" t="s">
        <v>78</v>
      </c>
    </row>
    <row r="6582" spans="1:3" x14ac:dyDescent="0.25">
      <c r="A6582" t="str">
        <f>"850003286"</f>
        <v>850003286</v>
      </c>
      <c r="B6582" t="str">
        <f>"EHPAD LEON TAPON"</f>
        <v>EHPAD LEON TAPON</v>
      </c>
      <c r="C6582" t="s">
        <v>78</v>
      </c>
    </row>
    <row r="6583" spans="1:3" x14ac:dyDescent="0.25">
      <c r="A6583" t="str">
        <f>"850003294"</f>
        <v>850003294</v>
      </c>
      <c r="B6583" t="str">
        <f>"EHPAD LA SMAGNE"</f>
        <v>EHPAD LA SMAGNE</v>
      </c>
      <c r="C6583" t="s">
        <v>78</v>
      </c>
    </row>
    <row r="6584" spans="1:3" x14ac:dyDescent="0.25">
      <c r="A6584" t="str">
        <f>"850003302"</f>
        <v>850003302</v>
      </c>
      <c r="B6584" t="str">
        <f>"EHPAD LA FORET"</f>
        <v>EHPAD LA FORET</v>
      </c>
      <c r="C6584" t="s">
        <v>78</v>
      </c>
    </row>
    <row r="6585" spans="1:3" x14ac:dyDescent="0.25">
      <c r="A6585" t="str">
        <f>"850003310"</f>
        <v>850003310</v>
      </c>
      <c r="B6585" t="str">
        <f>"EHPAD LE HAVRE DU PAYRE"</f>
        <v>EHPAD LE HAVRE DU PAYRE</v>
      </c>
      <c r="C6585" t="s">
        <v>78</v>
      </c>
    </row>
    <row r="6586" spans="1:3" x14ac:dyDescent="0.25">
      <c r="A6586" t="str">
        <f>"850003484"</f>
        <v>850003484</v>
      </c>
      <c r="B6586" t="str">
        <f>"EHPAD MULTISITE VENDEE SEVRE AUTISE"</f>
        <v>EHPAD MULTISITE VENDEE SEVRE AUTISE</v>
      </c>
      <c r="C6586" t="s">
        <v>78</v>
      </c>
    </row>
    <row r="6587" spans="1:3" x14ac:dyDescent="0.25">
      <c r="A6587" t="str">
        <f>"850003492"</f>
        <v>850003492</v>
      </c>
      <c r="B6587" t="str">
        <f>"EHPAD LES COLLINES"</f>
        <v>EHPAD LES COLLINES</v>
      </c>
      <c r="C6587" t="s">
        <v>78</v>
      </c>
    </row>
    <row r="6588" spans="1:3" x14ac:dyDescent="0.25">
      <c r="A6588" t="str">
        <f>"850003559"</f>
        <v>850003559</v>
      </c>
      <c r="B6588" t="str">
        <f>"EHPAD LOUIS CROSNIER"</f>
        <v>EHPAD LOUIS CROSNIER</v>
      </c>
      <c r="C6588" t="s">
        <v>78</v>
      </c>
    </row>
    <row r="6589" spans="1:3" x14ac:dyDescent="0.25">
      <c r="A6589" t="str">
        <f>"850003567"</f>
        <v>850003567</v>
      </c>
      <c r="B6589" t="str">
        <f>"EHPAD PIERRE GENAIS"</f>
        <v>EHPAD PIERRE GENAIS</v>
      </c>
      <c r="C6589" t="s">
        <v>78</v>
      </c>
    </row>
    <row r="6590" spans="1:3" x14ac:dyDescent="0.25">
      <c r="A6590" t="str">
        <f>"850003575"</f>
        <v>850003575</v>
      </c>
      <c r="B6590" t="str">
        <f>"EHPAD ESSARTS EN BOCAGE"</f>
        <v>EHPAD ESSARTS EN BOCAGE</v>
      </c>
      <c r="C6590" t="s">
        <v>78</v>
      </c>
    </row>
    <row r="6591" spans="1:3" x14ac:dyDescent="0.25">
      <c r="A6591" t="str">
        <f>"850003583"</f>
        <v>850003583</v>
      </c>
      <c r="B6591" t="str">
        <f>"EHPAD DURAND ROBIN"</f>
        <v>EHPAD DURAND ROBIN</v>
      </c>
      <c r="C6591" t="s">
        <v>78</v>
      </c>
    </row>
    <row r="6592" spans="1:3" x14ac:dyDescent="0.25">
      <c r="A6592" t="str">
        <f>"850003773"</f>
        <v>850003773</v>
      </c>
      <c r="B6592" t="str">
        <f>"EHPAD STE BERNADETTE"</f>
        <v>EHPAD STE BERNADETTE</v>
      </c>
      <c r="C6592" t="s">
        <v>78</v>
      </c>
    </row>
    <row r="6593" spans="1:3" x14ac:dyDescent="0.25">
      <c r="A6593" t="str">
        <f>"850003781"</f>
        <v>850003781</v>
      </c>
      <c r="B6593" t="str">
        <f>"EHPAD ST GABRIEL"</f>
        <v>EHPAD ST GABRIEL</v>
      </c>
      <c r="C6593" t="s">
        <v>78</v>
      </c>
    </row>
    <row r="6594" spans="1:3" x14ac:dyDescent="0.25">
      <c r="A6594" t="str">
        <f>"850003799"</f>
        <v>850003799</v>
      </c>
      <c r="B6594" t="str">
        <f>"EHPAD SAINT LUC"</f>
        <v>EHPAD SAINT LUC</v>
      </c>
      <c r="C6594" t="s">
        <v>78</v>
      </c>
    </row>
    <row r="6595" spans="1:3" x14ac:dyDescent="0.25">
      <c r="A6595" t="str">
        <f>"850003807"</f>
        <v>850003807</v>
      </c>
      <c r="B6595" t="str">
        <f>"EHPAD SAINTE SOPHIE"</f>
        <v>EHPAD SAINTE SOPHIE</v>
      </c>
      <c r="C6595" t="s">
        <v>78</v>
      </c>
    </row>
    <row r="6596" spans="1:3" x14ac:dyDescent="0.25">
      <c r="A6596" t="str">
        <f>"850003815"</f>
        <v>850003815</v>
      </c>
      <c r="B6596" t="str">
        <f>"EHPAD MULTISITE VENDEE SEVRE AUTISE"</f>
        <v>EHPAD MULTISITE VENDEE SEVRE AUTISE</v>
      </c>
      <c r="C6596" t="s">
        <v>78</v>
      </c>
    </row>
    <row r="6597" spans="1:3" x14ac:dyDescent="0.25">
      <c r="A6597" t="str">
        <f>"850003831"</f>
        <v>850003831</v>
      </c>
      <c r="B6597" t="str">
        <f>"EHPAD RESIDENCE FLEURIE"</f>
        <v>EHPAD RESIDENCE FLEURIE</v>
      </c>
      <c r="C6597" t="s">
        <v>78</v>
      </c>
    </row>
    <row r="6598" spans="1:3" x14ac:dyDescent="0.25">
      <c r="A6598" t="str">
        <f>"850003849"</f>
        <v>850003849</v>
      </c>
      <c r="B6598" t="str">
        <f>"EHPAD LA SAINTE FAMILLE"</f>
        <v>EHPAD LA SAINTE FAMILLE</v>
      </c>
      <c r="C6598" t="s">
        <v>78</v>
      </c>
    </row>
    <row r="6599" spans="1:3" x14ac:dyDescent="0.25">
      <c r="A6599" t="str">
        <f>"850003856"</f>
        <v>850003856</v>
      </c>
      <c r="B6599" t="str">
        <f>"EHPAD LES GLYCINES"</f>
        <v>EHPAD LES GLYCINES</v>
      </c>
      <c r="C6599" t="s">
        <v>78</v>
      </c>
    </row>
    <row r="6600" spans="1:3" x14ac:dyDescent="0.25">
      <c r="A6600" t="str">
        <f>"850003872"</f>
        <v>850003872</v>
      </c>
      <c r="B6600" t="str">
        <f>"EHPAD SAINT JOSEPH"</f>
        <v>EHPAD SAINT JOSEPH</v>
      </c>
      <c r="C6600" t="s">
        <v>78</v>
      </c>
    </row>
    <row r="6601" spans="1:3" x14ac:dyDescent="0.25">
      <c r="A6601" t="str">
        <f>"850003898"</f>
        <v>850003898</v>
      </c>
      <c r="B6601" t="str">
        <f>"EHPAD SAINT DENIS"</f>
        <v>EHPAD SAINT DENIS</v>
      </c>
      <c r="C6601" t="s">
        <v>78</v>
      </c>
    </row>
    <row r="6602" spans="1:3" x14ac:dyDescent="0.25">
      <c r="A6602" t="str">
        <f>"850003906"</f>
        <v>850003906</v>
      </c>
      <c r="B6602" t="str">
        <f>"EHPAD CHARLES MARGUERITE"</f>
        <v>EHPAD CHARLES MARGUERITE</v>
      </c>
      <c r="C6602" t="s">
        <v>78</v>
      </c>
    </row>
    <row r="6603" spans="1:3" x14ac:dyDescent="0.25">
      <c r="A6603" t="str">
        <f>"850003914"</f>
        <v>850003914</v>
      </c>
      <c r="B6603" t="str">
        <f>"EHPAD NOTRE DAME DE LORETTE"</f>
        <v>EHPAD NOTRE DAME DE LORETTE</v>
      </c>
      <c r="C6603" t="s">
        <v>78</v>
      </c>
    </row>
    <row r="6604" spans="1:3" x14ac:dyDescent="0.25">
      <c r="A6604" t="str">
        <f>"850003930"</f>
        <v>850003930</v>
      </c>
      <c r="B6604" t="str">
        <f>"EHPAD SAINTE ANNE"</f>
        <v>EHPAD SAINTE ANNE</v>
      </c>
      <c r="C6604" t="s">
        <v>78</v>
      </c>
    </row>
    <row r="6605" spans="1:3" x14ac:dyDescent="0.25">
      <c r="A6605" t="str">
        <f>"850003955"</f>
        <v>850003955</v>
      </c>
      <c r="B6605" t="str">
        <f>"EHPAD SAINTE MARIE"</f>
        <v>EHPAD SAINTE MARIE</v>
      </c>
      <c r="C6605" t="s">
        <v>78</v>
      </c>
    </row>
    <row r="6606" spans="1:3" x14ac:dyDescent="0.25">
      <c r="A6606" t="str">
        <f>"850003963"</f>
        <v>850003963</v>
      </c>
      <c r="B6606" t="str">
        <f>"EHPAD ST JOSEPH"</f>
        <v>EHPAD ST JOSEPH</v>
      </c>
      <c r="C6606" t="s">
        <v>78</v>
      </c>
    </row>
    <row r="6607" spans="1:3" x14ac:dyDescent="0.25">
      <c r="A6607" t="str">
        <f>"850004896"</f>
        <v>850004896</v>
      </c>
      <c r="B6607" t="str">
        <f>"EHPAD MULTISITES PAYS DE CHANTONNAY"</f>
        <v>EHPAD MULTISITES PAYS DE CHANTONNAY</v>
      </c>
      <c r="C6607" t="s">
        <v>78</v>
      </c>
    </row>
    <row r="6608" spans="1:3" x14ac:dyDescent="0.25">
      <c r="A6608" t="str">
        <f>"850004912"</f>
        <v>850004912</v>
      </c>
      <c r="B6608" t="str">
        <f>"EHPAD KORIAN LE BOURGENAY"</f>
        <v>EHPAD KORIAN LE BOURGENAY</v>
      </c>
      <c r="C6608" t="s">
        <v>78</v>
      </c>
    </row>
    <row r="6609" spans="1:3" x14ac:dyDescent="0.25">
      <c r="A6609" t="str">
        <f>"850005034"</f>
        <v>850005034</v>
      </c>
      <c r="B6609" t="str">
        <f>"EHPAD CALYPSO"</f>
        <v>EHPAD CALYPSO</v>
      </c>
      <c r="C6609" t="s">
        <v>78</v>
      </c>
    </row>
    <row r="6610" spans="1:3" x14ac:dyDescent="0.25">
      <c r="A6610" t="str">
        <f>"850005257"</f>
        <v>850005257</v>
      </c>
      <c r="B6610" t="str">
        <f>"EHPAD GILLES-ARTUS"</f>
        <v>EHPAD GILLES-ARTUS</v>
      </c>
      <c r="C6610" t="s">
        <v>78</v>
      </c>
    </row>
    <row r="6611" spans="1:3" x14ac:dyDescent="0.25">
      <c r="A6611" t="str">
        <f>"850006545"</f>
        <v>850006545</v>
      </c>
      <c r="B6611" t="str">
        <f>"EHPAD ST ANDRE D'ORNAY"</f>
        <v>EHPAD ST ANDRE D'ORNAY</v>
      </c>
      <c r="C6611" t="s">
        <v>78</v>
      </c>
    </row>
    <row r="6612" spans="1:3" x14ac:dyDescent="0.25">
      <c r="A6612" t="str">
        <f>"850006651"</f>
        <v>850006651</v>
      </c>
      <c r="B6612" t="str">
        <f>"EHPAD LA CAP'LINE"</f>
        <v>EHPAD LA CAP'LINE</v>
      </c>
      <c r="C6612" t="s">
        <v>78</v>
      </c>
    </row>
    <row r="6613" spans="1:3" x14ac:dyDescent="0.25">
      <c r="A6613" t="str">
        <f>"850007709"</f>
        <v>850007709</v>
      </c>
      <c r="B6613" t="str">
        <f>"EHPAD ESTHER BLE"</f>
        <v>EHPAD ESTHER BLE</v>
      </c>
      <c r="C6613" t="s">
        <v>78</v>
      </c>
    </row>
    <row r="6614" spans="1:3" x14ac:dyDescent="0.25">
      <c r="A6614" t="str">
        <f>"850007899"</f>
        <v>850007899</v>
      </c>
      <c r="B6614" t="str">
        <f>"EHPAD LA MAISON DU SACRE COEUR"</f>
        <v>EHPAD LA MAISON DU SACRE COEUR</v>
      </c>
      <c r="C6614" t="s">
        <v>78</v>
      </c>
    </row>
    <row r="6615" spans="1:3" x14ac:dyDescent="0.25">
      <c r="A6615" t="str">
        <f>"850008699"</f>
        <v>850008699</v>
      </c>
      <c r="B6615" t="str">
        <f>"EHPAD LA VIGNE AUX ROSES"</f>
        <v>EHPAD LA VIGNE AUX ROSES</v>
      </c>
      <c r="C6615" t="s">
        <v>78</v>
      </c>
    </row>
    <row r="6616" spans="1:3" x14ac:dyDescent="0.25">
      <c r="A6616" t="str">
        <f>"850008947"</f>
        <v>850008947</v>
      </c>
      <c r="B6616" t="str">
        <f>"EHPAD LE COLOMBIER"</f>
        <v>EHPAD LE COLOMBIER</v>
      </c>
      <c r="C6616" t="s">
        <v>78</v>
      </c>
    </row>
    <row r="6617" spans="1:3" x14ac:dyDescent="0.25">
      <c r="A6617" t="str">
        <f>"850009044"</f>
        <v>850009044</v>
      </c>
      <c r="B6617" t="str">
        <f>"EHPAD LES BOUTONS D'OR"</f>
        <v>EHPAD LES BOUTONS D'OR</v>
      </c>
      <c r="C6617" t="s">
        <v>78</v>
      </c>
    </row>
    <row r="6618" spans="1:3" x14ac:dyDescent="0.25">
      <c r="A6618" t="str">
        <f>"850009317"</f>
        <v>850009317</v>
      </c>
      <c r="B6618" t="str">
        <f>"EHPAD LES GLYCINES"</f>
        <v>EHPAD LES GLYCINES</v>
      </c>
      <c r="C6618" t="s">
        <v>78</v>
      </c>
    </row>
    <row r="6619" spans="1:3" x14ac:dyDescent="0.25">
      <c r="A6619" t="str">
        <f>"850009390"</f>
        <v>850009390</v>
      </c>
      <c r="B6619" t="str">
        <f>"EHPAD LA BIENVENUE"</f>
        <v>EHPAD LA BIENVENUE</v>
      </c>
      <c r="C6619" t="s">
        <v>78</v>
      </c>
    </row>
    <row r="6620" spans="1:3" x14ac:dyDescent="0.25">
      <c r="A6620" t="str">
        <f>"850009432"</f>
        <v>850009432</v>
      </c>
      <c r="B6620" t="str">
        <f>"EHPAD LES IRIS"</f>
        <v>EHPAD LES IRIS</v>
      </c>
      <c r="C6620" t="s">
        <v>78</v>
      </c>
    </row>
    <row r="6621" spans="1:3" x14ac:dyDescent="0.25">
      <c r="A6621" t="str">
        <f>"850009952"</f>
        <v>850009952</v>
      </c>
      <c r="B6621" t="str">
        <f>"EHPAD LA SAGESSE"</f>
        <v>EHPAD LA SAGESSE</v>
      </c>
      <c r="C6621" t="s">
        <v>78</v>
      </c>
    </row>
    <row r="6622" spans="1:3" x14ac:dyDescent="0.25">
      <c r="A6622" t="str">
        <f>"850011057"</f>
        <v>850011057</v>
      </c>
      <c r="B6622" t="str">
        <f>"EHPAD LES JARDINS MEDICIS"</f>
        <v>EHPAD LES JARDINS MEDICIS</v>
      </c>
      <c r="C6622" t="s">
        <v>78</v>
      </c>
    </row>
    <row r="6623" spans="1:3" x14ac:dyDescent="0.25">
      <c r="A6623" t="str">
        <f>"850011503"</f>
        <v>850011503</v>
      </c>
      <c r="B6623" t="str">
        <f>"EHPAD LES JARDINS D OLONNE"</f>
        <v>EHPAD LES JARDINS D OLONNE</v>
      </c>
      <c r="C6623" t="s">
        <v>78</v>
      </c>
    </row>
    <row r="6624" spans="1:3" x14ac:dyDescent="0.25">
      <c r="A6624" t="str">
        <f>"850011842"</f>
        <v>850011842</v>
      </c>
      <c r="B6624" t="str">
        <f>"EHPAD LA CLE DE SOL"</f>
        <v>EHPAD LA CLE DE SOL</v>
      </c>
      <c r="C6624" t="s">
        <v>78</v>
      </c>
    </row>
    <row r="6625" spans="1:3" x14ac:dyDescent="0.25">
      <c r="A6625" t="str">
        <f>"850011909"</f>
        <v>850011909</v>
      </c>
      <c r="B6625" t="str">
        <f>"EHPAD KORIAN LE RICHELIEU"</f>
        <v>EHPAD KORIAN LE RICHELIEU</v>
      </c>
      <c r="C6625" t="s">
        <v>78</v>
      </c>
    </row>
    <row r="6626" spans="1:3" x14ac:dyDescent="0.25">
      <c r="A6626" t="str">
        <f>"850011958"</f>
        <v>850011958</v>
      </c>
      <c r="B6626" t="str">
        <f>"EHPAD SIMONNE MOREAU"</f>
        <v>EHPAD SIMONNE MOREAU</v>
      </c>
      <c r="C6626" t="s">
        <v>78</v>
      </c>
    </row>
    <row r="6627" spans="1:3" x14ac:dyDescent="0.25">
      <c r="A6627" t="str">
        <f>"850012493"</f>
        <v>850012493</v>
      </c>
      <c r="B6627" t="str">
        <f>"EHPAD L'ESTRAN"</f>
        <v>EHPAD L'ESTRAN</v>
      </c>
      <c r="C6627" t="s">
        <v>78</v>
      </c>
    </row>
    <row r="6628" spans="1:3" x14ac:dyDescent="0.25">
      <c r="A6628" t="str">
        <f>"850013343"</f>
        <v>850013343</v>
      </c>
      <c r="B6628" t="str">
        <f>"EHPAD DES COLLINES VENDEENNES"</f>
        <v>EHPAD DES COLLINES VENDEENNES</v>
      </c>
      <c r="C6628" t="s">
        <v>78</v>
      </c>
    </row>
    <row r="6629" spans="1:3" x14ac:dyDescent="0.25">
      <c r="A6629" t="str">
        <f>"850016569"</f>
        <v>850016569</v>
      </c>
      <c r="B6629" t="str">
        <f>"EHPAD L'AGARET"</f>
        <v>EHPAD L'AGARET</v>
      </c>
      <c r="C6629" t="s">
        <v>78</v>
      </c>
    </row>
    <row r="6630" spans="1:3" x14ac:dyDescent="0.25">
      <c r="A6630" t="str">
        <f>"850016585"</f>
        <v>850016585</v>
      </c>
      <c r="B6630" t="str">
        <f>"EHPAD LA CLERGERIE"</f>
        <v>EHPAD LA CLERGERIE</v>
      </c>
      <c r="C6630" t="s">
        <v>78</v>
      </c>
    </row>
    <row r="6631" spans="1:3" x14ac:dyDescent="0.25">
      <c r="A6631" t="str">
        <f>"850016601"</f>
        <v>850016601</v>
      </c>
      <c r="B6631" t="str">
        <f>"EHPAD LES VALLEES"</f>
        <v>EHPAD LES VALLEES</v>
      </c>
      <c r="C6631" t="s">
        <v>78</v>
      </c>
    </row>
    <row r="6632" spans="1:3" x14ac:dyDescent="0.25">
      <c r="A6632" t="str">
        <f>"850016627"</f>
        <v>850016627</v>
      </c>
      <c r="B6632" t="str">
        <f>"EHPAD LES CHATAIGNIERS"</f>
        <v>EHPAD LES CHATAIGNIERS</v>
      </c>
      <c r="C6632" t="s">
        <v>78</v>
      </c>
    </row>
    <row r="6633" spans="1:3" x14ac:dyDescent="0.25">
      <c r="A6633" t="str">
        <f>"850016643"</f>
        <v>850016643</v>
      </c>
      <c r="B6633" t="str">
        <f>"EHPAD LE MOULIN ROUGE"</f>
        <v>EHPAD LE MOULIN ROUGE</v>
      </c>
      <c r="C6633" t="s">
        <v>78</v>
      </c>
    </row>
    <row r="6634" spans="1:3" x14ac:dyDescent="0.25">
      <c r="A6634" t="str">
        <f>"850016676"</f>
        <v>850016676</v>
      </c>
      <c r="B6634" t="str">
        <f>"EHPAD LE SEPTIER D'OR"</f>
        <v>EHPAD LE SEPTIER D'OR</v>
      </c>
      <c r="C6634" t="s">
        <v>78</v>
      </c>
    </row>
    <row r="6635" spans="1:3" x14ac:dyDescent="0.25">
      <c r="A6635" t="str">
        <f>"850017070"</f>
        <v>850017070</v>
      </c>
      <c r="B6635" t="str">
        <f>"EHPAD VILLA BEAUSOLEIL ND DE RIEZ"</f>
        <v>EHPAD VILLA BEAUSOLEIL ND DE RIEZ</v>
      </c>
      <c r="C6635" t="s">
        <v>78</v>
      </c>
    </row>
    <row r="6636" spans="1:3" x14ac:dyDescent="0.25">
      <c r="A6636" t="str">
        <f>"850017294"</f>
        <v>850017294</v>
      </c>
      <c r="B6636" t="str">
        <f>"EHPAD LE LOGIS DES OLONNES"</f>
        <v>EHPAD LE LOGIS DES OLONNES</v>
      </c>
      <c r="C6636" t="s">
        <v>78</v>
      </c>
    </row>
    <row r="6637" spans="1:3" x14ac:dyDescent="0.25">
      <c r="A6637" t="str">
        <f>"850017302"</f>
        <v>850017302</v>
      </c>
      <c r="B6637" t="str">
        <f>"EHPAD LES MAISONS DE L'HARMONIE"</f>
        <v>EHPAD LES MAISONS DE L'HARMONIE</v>
      </c>
      <c r="C6637" t="s">
        <v>78</v>
      </c>
    </row>
    <row r="6638" spans="1:3" x14ac:dyDescent="0.25">
      <c r="A6638" t="str">
        <f>"850017658"</f>
        <v>850017658</v>
      </c>
      <c r="B6638" t="str">
        <f>"EHPAD DU CHS G. MAZURELLE"</f>
        <v>EHPAD DU CHS G. MAZURELLE</v>
      </c>
      <c r="C6638" t="s">
        <v>78</v>
      </c>
    </row>
    <row r="6639" spans="1:3" x14ac:dyDescent="0.25">
      <c r="A6639" t="str">
        <f>"850019829"</f>
        <v>850019829</v>
      </c>
      <c r="B6639" t="str">
        <f>"EHPAD LES MARRONNIERS"</f>
        <v>EHPAD LES MARRONNIERS</v>
      </c>
      <c r="C6639" t="s">
        <v>78</v>
      </c>
    </row>
    <row r="6640" spans="1:3" x14ac:dyDescent="0.25">
      <c r="A6640" t="str">
        <f>"850020124"</f>
        <v>850020124</v>
      </c>
      <c r="B6640" t="str">
        <f>"EHPAD AQUARELLE"</f>
        <v>EHPAD AQUARELLE</v>
      </c>
      <c r="C6640" t="s">
        <v>78</v>
      </c>
    </row>
    <row r="6641" spans="1:3" x14ac:dyDescent="0.25">
      <c r="A6641" t="str">
        <f>"850020298"</f>
        <v>850020298</v>
      </c>
      <c r="B6641" t="str">
        <f>"EHPAD SAINT ALEXANDRE"</f>
        <v>EHPAD SAINT ALEXANDRE</v>
      </c>
      <c r="C6641" t="s">
        <v>78</v>
      </c>
    </row>
    <row r="6642" spans="1:3" x14ac:dyDescent="0.25">
      <c r="A6642" t="str">
        <f>"850020389"</f>
        <v>850020389</v>
      </c>
      <c r="B6642" t="str">
        <f>"EHPAD CH FONTENAY"</f>
        <v>EHPAD CH FONTENAY</v>
      </c>
      <c r="C6642" t="s">
        <v>78</v>
      </c>
    </row>
    <row r="6643" spans="1:3" x14ac:dyDescent="0.25">
      <c r="A6643" t="str">
        <f>"850020405"</f>
        <v>850020405</v>
      </c>
      <c r="B6643" t="str">
        <f>"EHPAD CHD HENRY RENAUD"</f>
        <v>EHPAD CHD HENRY RENAUD</v>
      </c>
      <c r="C6643" t="s">
        <v>78</v>
      </c>
    </row>
    <row r="6644" spans="1:3" x14ac:dyDescent="0.25">
      <c r="A6644" t="str">
        <f>"850020439"</f>
        <v>850020439</v>
      </c>
      <c r="B6644" t="str">
        <f>"EHPAD CH DE NOIRMOUTIER"</f>
        <v>EHPAD CH DE NOIRMOUTIER</v>
      </c>
      <c r="C6644" t="s">
        <v>78</v>
      </c>
    </row>
    <row r="6645" spans="1:3" x14ac:dyDescent="0.25">
      <c r="A6645" t="str">
        <f>"850020454"</f>
        <v>850020454</v>
      </c>
      <c r="B6645" t="str">
        <f>"EHPAD LES MAISONNEES DE LUMIERE"</f>
        <v>EHPAD LES MAISONNEES DE LUMIERE</v>
      </c>
      <c r="C6645" t="s">
        <v>78</v>
      </c>
    </row>
    <row r="6646" spans="1:3" x14ac:dyDescent="0.25">
      <c r="A6646" t="str">
        <f>"850020470"</f>
        <v>850020470</v>
      </c>
      <c r="B6646" t="str">
        <f>"EHPAD ERNEST GUERIN"</f>
        <v>EHPAD ERNEST GUERIN</v>
      </c>
      <c r="C6646" t="s">
        <v>78</v>
      </c>
    </row>
    <row r="6647" spans="1:3" x14ac:dyDescent="0.25">
      <c r="A6647" t="str">
        <f>"850020488"</f>
        <v>850020488</v>
      </c>
      <c r="B6647" t="str">
        <f>"EHPAD DE SAINT GILLES CROIX DE VIE"</f>
        <v>EHPAD DE SAINT GILLES CROIX DE VIE</v>
      </c>
      <c r="C6647" t="s">
        <v>78</v>
      </c>
    </row>
    <row r="6648" spans="1:3" x14ac:dyDescent="0.25">
      <c r="A6648" t="str">
        <f>"850021270"</f>
        <v>850021270</v>
      </c>
      <c r="B6648" t="str">
        <f>"EHPAD CHD LA ROCHE LUCON MON"</f>
        <v>EHPAD CHD LA ROCHE LUCON MON</v>
      </c>
      <c r="C6648" t="s">
        <v>78</v>
      </c>
    </row>
    <row r="6649" spans="1:3" x14ac:dyDescent="0.25">
      <c r="A6649" t="str">
        <f>"850021353"</f>
        <v>850021353</v>
      </c>
      <c r="B6649" t="str">
        <f>"EHPAD CHD VENDEE LA ROCHE SUR YON"</f>
        <v>EHPAD CHD VENDEE LA ROCHE SUR YON</v>
      </c>
      <c r="C6649" t="s">
        <v>78</v>
      </c>
    </row>
    <row r="6650" spans="1:3" x14ac:dyDescent="0.25">
      <c r="A6650" t="str">
        <f>"850021379"</f>
        <v>850021379</v>
      </c>
      <c r="B6650" t="str">
        <f>"EHPAD MULTISITES PAYS DE CHANTONNAY"</f>
        <v>EHPAD MULTISITES PAYS DE CHANTONNAY</v>
      </c>
      <c r="C6650" t="s">
        <v>78</v>
      </c>
    </row>
    <row r="6651" spans="1:3" x14ac:dyDescent="0.25">
      <c r="A6651" t="str">
        <f>"850021544"</f>
        <v>850021544</v>
      </c>
      <c r="B6651" t="str">
        <f>"EHPAD LOUIS CAIVEAU"</f>
        <v>EHPAD LOUIS CAIVEAU</v>
      </c>
      <c r="C6651" t="s">
        <v>78</v>
      </c>
    </row>
    <row r="6652" spans="1:3" x14ac:dyDescent="0.25">
      <c r="A6652" t="str">
        <f>"850021973"</f>
        <v>850021973</v>
      </c>
      <c r="B6652" t="str">
        <f>"EHPAD LA CHIMOTAIE"</f>
        <v>EHPAD LA CHIMOTAIE</v>
      </c>
      <c r="C6652" t="s">
        <v>78</v>
      </c>
    </row>
    <row r="6653" spans="1:3" x14ac:dyDescent="0.25">
      <c r="A6653" t="str">
        <f>"850022385"</f>
        <v>850022385</v>
      </c>
      <c r="B6653" t="str">
        <f>"EHPAD LA BERTHOMIERE"</f>
        <v>EHPAD LA BERTHOMIERE</v>
      </c>
      <c r="C6653" t="s">
        <v>78</v>
      </c>
    </row>
    <row r="6654" spans="1:3" x14ac:dyDescent="0.25">
      <c r="A6654" t="str">
        <f>"850022419"</f>
        <v>850022419</v>
      </c>
      <c r="B6654" t="str">
        <f>"EHPAD LES TULIPES"</f>
        <v>EHPAD LES TULIPES</v>
      </c>
      <c r="C6654" t="s">
        <v>78</v>
      </c>
    </row>
    <row r="6655" spans="1:3" x14ac:dyDescent="0.25">
      <c r="A6655" t="str">
        <f>"850022435"</f>
        <v>850022435</v>
      </c>
      <c r="B6655" t="str">
        <f>"EHPAD MULTISITES TERRES DE MONTAIGU"</f>
        <v>EHPAD MULTISITES TERRES DE MONTAIGU</v>
      </c>
      <c r="C6655" t="s">
        <v>78</v>
      </c>
    </row>
    <row r="6656" spans="1:3" x14ac:dyDescent="0.25">
      <c r="A6656" t="str">
        <f>"850022443"</f>
        <v>850022443</v>
      </c>
      <c r="B6656" t="str">
        <f>"EHPAD MULTISITES TERRES DE MONTAIGU"</f>
        <v>EHPAD MULTISITES TERRES DE MONTAIGU</v>
      </c>
      <c r="C6656" t="s">
        <v>78</v>
      </c>
    </row>
    <row r="6657" spans="1:3" x14ac:dyDescent="0.25">
      <c r="A6657" t="str">
        <f>"850022500"</f>
        <v>850022500</v>
      </c>
      <c r="B6657" t="str">
        <f>"EHPAD L'OREE DU BOCAGE"</f>
        <v>EHPAD L'OREE DU BOCAGE</v>
      </c>
      <c r="C6657" t="s">
        <v>78</v>
      </c>
    </row>
    <row r="6658" spans="1:3" x14ac:dyDescent="0.25">
      <c r="A6658" t="str">
        <f>"850022781"</f>
        <v>850022781</v>
      </c>
      <c r="B6658" t="str">
        <f>"EHPAD DE L'AUBRAIE"</f>
        <v>EHPAD DE L'AUBRAIE</v>
      </c>
      <c r="C6658" t="s">
        <v>78</v>
      </c>
    </row>
    <row r="6659" spans="1:3" x14ac:dyDescent="0.25">
      <c r="A6659" t="str">
        <f>"850022807"</f>
        <v>850022807</v>
      </c>
      <c r="B6659" t="str">
        <f>"EHPAD KORIAN LES FILS D ARGENT"</f>
        <v>EHPAD KORIAN LES FILS D ARGENT</v>
      </c>
      <c r="C6659" t="s">
        <v>78</v>
      </c>
    </row>
    <row r="6660" spans="1:3" x14ac:dyDescent="0.25">
      <c r="A6660" t="str">
        <f>"850022831"</f>
        <v>850022831</v>
      </c>
      <c r="B6660" t="str">
        <f>"EHPAD LA PIERRE ROSE"</f>
        <v>EHPAD LA PIERRE ROSE</v>
      </c>
      <c r="C6660" t="s">
        <v>78</v>
      </c>
    </row>
    <row r="6661" spans="1:3" x14ac:dyDescent="0.25">
      <c r="A6661" t="str">
        <f>"850022864"</f>
        <v>850022864</v>
      </c>
      <c r="B6661" t="str">
        <f>"EHPAD LES BORDS D'AMBOISE"</f>
        <v>EHPAD LES BORDS D'AMBOISE</v>
      </c>
      <c r="C6661" t="s">
        <v>78</v>
      </c>
    </row>
    <row r="6662" spans="1:3" x14ac:dyDescent="0.25">
      <c r="A6662" t="str">
        <f>"850022872"</f>
        <v>850022872</v>
      </c>
      <c r="B6662" t="str">
        <f>"EHPAD LE VAL FLEURI"</f>
        <v>EHPAD LE VAL FLEURI</v>
      </c>
      <c r="C6662" t="s">
        <v>78</v>
      </c>
    </row>
    <row r="6663" spans="1:3" x14ac:dyDescent="0.25">
      <c r="A6663" t="str">
        <f>"850023037"</f>
        <v>850023037</v>
      </c>
      <c r="B6663" t="str">
        <f>"EHPAD ESSARTS EN BOCAGE"</f>
        <v>EHPAD ESSARTS EN BOCAGE</v>
      </c>
      <c r="C6663" t="s">
        <v>78</v>
      </c>
    </row>
    <row r="6664" spans="1:3" x14ac:dyDescent="0.25">
      <c r="A6664" t="str">
        <f>"850023045"</f>
        <v>850023045</v>
      </c>
      <c r="B6664" t="str">
        <f>"EHPAD MULTISITE VENDEE SEVRE AUTISE"</f>
        <v>EHPAD MULTISITE VENDEE SEVRE AUTISE</v>
      </c>
      <c r="C6664" t="s">
        <v>78</v>
      </c>
    </row>
    <row r="6665" spans="1:3" x14ac:dyDescent="0.25">
      <c r="A6665" t="str">
        <f>"850023060"</f>
        <v>850023060</v>
      </c>
      <c r="B6665" t="str">
        <f>"EHPAD ST CHRISTOPHE"</f>
        <v>EHPAD ST CHRISTOPHE</v>
      </c>
      <c r="C6665" t="s">
        <v>78</v>
      </c>
    </row>
    <row r="6666" spans="1:3" x14ac:dyDescent="0.25">
      <c r="A6666" t="str">
        <f>"850023086"</f>
        <v>850023086</v>
      </c>
      <c r="B6666" t="str">
        <f>"EHPAD LA SOURCE"</f>
        <v>EHPAD LA SOURCE</v>
      </c>
      <c r="C6666" t="s">
        <v>78</v>
      </c>
    </row>
    <row r="6667" spans="1:3" x14ac:dyDescent="0.25">
      <c r="A6667" t="str">
        <f>"850023102"</f>
        <v>850023102</v>
      </c>
      <c r="B6667" t="str">
        <f>"EHPAD LE CHENE VERT"</f>
        <v>EHPAD LE CHENE VERT</v>
      </c>
      <c r="C6667" t="s">
        <v>78</v>
      </c>
    </row>
    <row r="6668" spans="1:3" x14ac:dyDescent="0.25">
      <c r="A6668" t="str">
        <f>"850023136"</f>
        <v>850023136</v>
      </c>
      <c r="B6668" t="str">
        <f>"EHPAD MULTISITE PISSOTTE-VOUVANT"</f>
        <v>EHPAD MULTISITE PISSOTTE-VOUVANT</v>
      </c>
      <c r="C6668" t="s">
        <v>78</v>
      </c>
    </row>
    <row r="6669" spans="1:3" x14ac:dyDescent="0.25">
      <c r="A6669" t="str">
        <f>"850023425"</f>
        <v>850023425</v>
      </c>
      <c r="B6669" t="str">
        <f>"EHPAD MARTIAL CAILLAUD"</f>
        <v>EHPAD MARTIAL CAILLAUD</v>
      </c>
      <c r="C6669" t="s">
        <v>78</v>
      </c>
    </row>
    <row r="6670" spans="1:3" x14ac:dyDescent="0.25">
      <c r="A6670" t="str">
        <f>"850023656"</f>
        <v>850023656</v>
      </c>
      <c r="B6670" t="str">
        <f>"EHPAD LE BOCAGE"</f>
        <v>EHPAD LE BOCAGE</v>
      </c>
      <c r="C6670" t="s">
        <v>78</v>
      </c>
    </row>
    <row r="6671" spans="1:3" x14ac:dyDescent="0.25">
      <c r="A6671" t="str">
        <f>"850023961"</f>
        <v>850023961</v>
      </c>
      <c r="B6671" t="str">
        <f>"EHPAD LA CHARMILLE"</f>
        <v>EHPAD LA CHARMILLE</v>
      </c>
      <c r="C6671" t="s">
        <v>78</v>
      </c>
    </row>
    <row r="6672" spans="1:3" x14ac:dyDescent="0.25">
      <c r="A6672" t="str">
        <f>"850024233"</f>
        <v>850024233</v>
      </c>
      <c r="B6672" t="str">
        <f>"EHPAD DU CLERGE"</f>
        <v>EHPAD DU CLERGE</v>
      </c>
      <c r="C6672" t="s">
        <v>78</v>
      </c>
    </row>
    <row r="6673" spans="1:3" x14ac:dyDescent="0.25">
      <c r="A6673" t="str">
        <f>"850024456"</f>
        <v>850024456</v>
      </c>
      <c r="B6673" t="str">
        <f>"EHPAD UNION CHRETIENNE"</f>
        <v>EHPAD UNION CHRETIENNE</v>
      </c>
      <c r="C6673" t="s">
        <v>78</v>
      </c>
    </row>
    <row r="6674" spans="1:3" x14ac:dyDescent="0.25">
      <c r="A6674" t="str">
        <f>"850024712"</f>
        <v>850024712</v>
      </c>
      <c r="B6674" t="str">
        <f>"EHPAD KORIAN LE HOME DU VERGER"</f>
        <v>EHPAD KORIAN LE HOME DU VERGER</v>
      </c>
      <c r="C6674" t="s">
        <v>78</v>
      </c>
    </row>
    <row r="6675" spans="1:3" x14ac:dyDescent="0.25">
      <c r="A6675" t="str">
        <f>"850024746"</f>
        <v>850024746</v>
      </c>
      <c r="B6675" t="str">
        <f>"EHPAD LES ROSES D'OR - LA ROSERAIE"</f>
        <v>EHPAD LES ROSES D'OR - LA ROSERAIE</v>
      </c>
      <c r="C6675" t="s">
        <v>78</v>
      </c>
    </row>
    <row r="6676" spans="1:3" x14ac:dyDescent="0.25">
      <c r="A6676" t="str">
        <f>"850024761"</f>
        <v>850024761</v>
      </c>
      <c r="B6676" t="str">
        <f>"EHPAD LES ROSES D'OR - LE CHENE D'OR"</f>
        <v>EHPAD LES ROSES D'OR - LE CHENE D'OR</v>
      </c>
      <c r="C6676" t="s">
        <v>78</v>
      </c>
    </row>
    <row r="6677" spans="1:3" x14ac:dyDescent="0.25">
      <c r="A6677" t="str">
        <f>"850025172"</f>
        <v>850025172</v>
      </c>
      <c r="B6677" t="str">
        <f>"EHPAD LES HIRONDELLES"</f>
        <v>EHPAD LES HIRONDELLES</v>
      </c>
      <c r="C6677" t="s">
        <v>78</v>
      </c>
    </row>
    <row r="6678" spans="1:3" x14ac:dyDescent="0.25">
      <c r="A6678" t="str">
        <f>"850025214"</f>
        <v>850025214</v>
      </c>
      <c r="B6678" t="str">
        <f>"EHPAD LES GLYCINES"</f>
        <v>EHPAD LES GLYCINES</v>
      </c>
      <c r="C6678" t="s">
        <v>78</v>
      </c>
    </row>
    <row r="6679" spans="1:3" x14ac:dyDescent="0.25">
      <c r="A6679" t="str">
        <f>"850025230"</f>
        <v>850025230</v>
      </c>
      <c r="B6679" t="str">
        <f>"EHPAD LE PARC DE L'AUZANCE"</f>
        <v>EHPAD LE PARC DE L'AUZANCE</v>
      </c>
      <c r="C6679" t="s">
        <v>78</v>
      </c>
    </row>
    <row r="6680" spans="1:3" x14ac:dyDescent="0.25">
      <c r="A6680" t="str">
        <f>"850025602"</f>
        <v>850025602</v>
      </c>
      <c r="B6680" t="str">
        <f>"EHPAD LES CORDELIERS"</f>
        <v>EHPAD LES CORDELIERS</v>
      </c>
      <c r="C6680" t="s">
        <v>78</v>
      </c>
    </row>
    <row r="6681" spans="1:3" x14ac:dyDescent="0.25">
      <c r="A6681" t="str">
        <f>"850025628"</f>
        <v>850025628</v>
      </c>
      <c r="B6681" t="str">
        <f>"EHPAD LES COTEAUX DE L'YON"</f>
        <v>EHPAD LES COTEAUX DE L'YON</v>
      </c>
      <c r="C6681" t="s">
        <v>78</v>
      </c>
    </row>
    <row r="6682" spans="1:3" x14ac:dyDescent="0.25">
      <c r="A6682" t="str">
        <f>"850025917"</f>
        <v>850025917</v>
      </c>
      <c r="B6682" t="str">
        <f>"EHPAD MARIE ET ALBERT GUILLONNEAU"</f>
        <v>EHPAD MARIE ET ALBERT GUILLONNEAU</v>
      </c>
      <c r="C6682" t="s">
        <v>78</v>
      </c>
    </row>
    <row r="6683" spans="1:3" x14ac:dyDescent="0.25">
      <c r="A6683" t="str">
        <f>"850026279"</f>
        <v>850026279</v>
      </c>
      <c r="B6683" t="str">
        <f>"EHPAD MULTISITES TERRES DE MONTAIGU"</f>
        <v>EHPAD MULTISITES TERRES DE MONTAIGU</v>
      </c>
      <c r="C6683" t="s">
        <v>78</v>
      </c>
    </row>
    <row r="6684" spans="1:3" x14ac:dyDescent="0.25">
      <c r="A6684" t="str">
        <f>"850026287"</f>
        <v>850026287</v>
      </c>
      <c r="B6684" t="str">
        <f>"EHPAD MULTISITES TERRES DE MONTAIGU"</f>
        <v>EHPAD MULTISITES TERRES DE MONTAIGU</v>
      </c>
      <c r="C6684" t="s">
        <v>78</v>
      </c>
    </row>
    <row r="6685" spans="1:3" x14ac:dyDescent="0.25">
      <c r="A6685" t="str">
        <f>"850026295"</f>
        <v>850026295</v>
      </c>
      <c r="B6685" t="str">
        <f>"EHPAD MULTISITES TERRES DE MONTAIGU"</f>
        <v>EHPAD MULTISITES TERRES DE MONTAIGU</v>
      </c>
      <c r="C6685" t="s">
        <v>78</v>
      </c>
    </row>
    <row r="6686" spans="1:3" x14ac:dyDescent="0.25">
      <c r="A6686" t="str">
        <f>"850029612"</f>
        <v>850029612</v>
      </c>
      <c r="B6686" t="str">
        <f>"EHPAD LA VANNERIE"</f>
        <v>EHPAD LA VANNERIE</v>
      </c>
      <c r="C6686" t="s">
        <v>78</v>
      </c>
    </row>
    <row r="6687" spans="1:3" x14ac:dyDescent="0.25">
      <c r="A6687" t="str">
        <f>"860006329"</f>
        <v>860006329</v>
      </c>
      <c r="B6687" t="str">
        <f>"EHPAD GERAUD DE PIERREDON"</f>
        <v>EHPAD GERAUD DE PIERREDON</v>
      </c>
      <c r="C6687" t="s">
        <v>70</v>
      </c>
    </row>
    <row r="6688" spans="1:3" x14ac:dyDescent="0.25">
      <c r="A6688" t="str">
        <f>"860006402"</f>
        <v>860006402</v>
      </c>
      <c r="B6688" t="str">
        <f>"EHPAD RESIDENCE LUMIERES D'AUTOMNE"</f>
        <v>EHPAD RESIDENCE LUMIERES D'AUTOMNE</v>
      </c>
      <c r="C6688" t="s">
        <v>70</v>
      </c>
    </row>
    <row r="6689" spans="1:3" x14ac:dyDescent="0.25">
      <c r="A6689" t="str">
        <f>"860006428"</f>
        <v>860006428</v>
      </c>
      <c r="B6689" t="str">
        <f>"EHPAD RESIDENCE SANTA MONICA"</f>
        <v>EHPAD RESIDENCE SANTA MONICA</v>
      </c>
      <c r="C6689" t="s">
        <v>70</v>
      </c>
    </row>
    <row r="6690" spans="1:3" x14ac:dyDescent="0.25">
      <c r="A6690" t="str">
        <f>"860006469"</f>
        <v>860006469</v>
      </c>
      <c r="B6690" t="str">
        <f>"EHPAD LE CLOS DES MYOSOTIS"</f>
        <v>EHPAD LE CLOS DES MYOSOTIS</v>
      </c>
      <c r="C6690" t="s">
        <v>70</v>
      </c>
    </row>
    <row r="6691" spans="1:3" x14ac:dyDescent="0.25">
      <c r="A6691" t="str">
        <f>"860007038"</f>
        <v>860007038</v>
      </c>
      <c r="B6691" t="str">
        <f>"EHPAD RESIDENCE LES JARDINS DE CAMILLE"</f>
        <v>EHPAD RESIDENCE LES JARDINS DE CAMILLE</v>
      </c>
      <c r="C6691" t="s">
        <v>70</v>
      </c>
    </row>
    <row r="6692" spans="1:3" x14ac:dyDescent="0.25">
      <c r="A6692" t="str">
        <f>"860007129"</f>
        <v>860007129</v>
      </c>
      <c r="B6692" t="str">
        <f>"EHPAD LA ROSE D'ALIENOR"</f>
        <v>EHPAD LA ROSE D'ALIENOR</v>
      </c>
      <c r="C6692" t="s">
        <v>70</v>
      </c>
    </row>
    <row r="6693" spans="1:3" x14ac:dyDescent="0.25">
      <c r="A6693" t="str">
        <f>"860007848"</f>
        <v>860007848</v>
      </c>
      <c r="B6693" t="str">
        <f>"EHPAD RESIDENCE LES GRANDS CHENES"</f>
        <v>EHPAD RESIDENCE LES GRANDS CHENES</v>
      </c>
      <c r="C6693" t="s">
        <v>70</v>
      </c>
    </row>
    <row r="6694" spans="1:3" x14ac:dyDescent="0.25">
      <c r="A6694" t="str">
        <f>"860008168"</f>
        <v>860008168</v>
      </c>
      <c r="B6694" t="str">
        <f>"EHPAD RICHELOT-LASSE"</f>
        <v>EHPAD RICHELOT-LASSE</v>
      </c>
      <c r="C6694" t="s">
        <v>70</v>
      </c>
    </row>
    <row r="6695" spans="1:3" x14ac:dyDescent="0.25">
      <c r="A6695" t="str">
        <f>"860008549"</f>
        <v>860008549</v>
      </c>
      <c r="B6695" t="str">
        <f>"EHPAD LE LOGIS DU VAL DE BOIVRE"</f>
        <v>EHPAD LE LOGIS DU VAL DE BOIVRE</v>
      </c>
      <c r="C6695" t="s">
        <v>70</v>
      </c>
    </row>
    <row r="6696" spans="1:3" x14ac:dyDescent="0.25">
      <c r="A6696" t="str">
        <f>"860009679"</f>
        <v>860009679</v>
      </c>
      <c r="B6696" t="str">
        <f>"EHPAD LES JARDINS D'EDEN"</f>
        <v>EHPAD LES JARDINS D'EDEN</v>
      </c>
      <c r="C6696" t="s">
        <v>70</v>
      </c>
    </row>
    <row r="6697" spans="1:3" x14ac:dyDescent="0.25">
      <c r="A6697" t="str">
        <f>"860009919"</f>
        <v>860009919</v>
      </c>
      <c r="B6697" t="str">
        <f>"EHPAD LA PIERRE MEULIERE"</f>
        <v>EHPAD LA PIERRE MEULIERE</v>
      </c>
      <c r="C6697" t="s">
        <v>70</v>
      </c>
    </row>
    <row r="6698" spans="1:3" x14ac:dyDescent="0.25">
      <c r="A6698" t="str">
        <f>"860009943"</f>
        <v>860009943</v>
      </c>
      <c r="B6698" t="str">
        <f>"EHPAD RESIDENCE L'OREE DU VERGER"</f>
        <v>EHPAD RESIDENCE L'OREE DU VERGER</v>
      </c>
      <c r="C6698" t="s">
        <v>70</v>
      </c>
    </row>
    <row r="6699" spans="1:3" x14ac:dyDescent="0.25">
      <c r="A6699" t="str">
        <f>"860010008"</f>
        <v>860010008</v>
      </c>
      <c r="B6699" t="str">
        <f>"EHPAD LES TROIS CHEMINS"</f>
        <v>EHPAD LES TROIS CHEMINS</v>
      </c>
      <c r="C6699" t="s">
        <v>70</v>
      </c>
    </row>
    <row r="6700" spans="1:3" x14ac:dyDescent="0.25">
      <c r="A6700" t="str">
        <f>"860010388"</f>
        <v>860010388</v>
      </c>
      <c r="B6700" t="str">
        <f>"EHPAD RESIDENCE LOUIS ARAGON"</f>
        <v>EHPAD RESIDENCE LOUIS ARAGON</v>
      </c>
      <c r="C6700" t="s">
        <v>70</v>
      </c>
    </row>
    <row r="6701" spans="1:3" x14ac:dyDescent="0.25">
      <c r="A6701" t="str">
        <f>"860010479"</f>
        <v>860010479</v>
      </c>
      <c r="B6701" t="str">
        <f>"EHPAD LES JARDINS DE MONTPLAISIR"</f>
        <v>EHPAD LES JARDINS DE MONTPLAISIR</v>
      </c>
      <c r="C6701" t="s">
        <v>70</v>
      </c>
    </row>
    <row r="6702" spans="1:3" x14ac:dyDescent="0.25">
      <c r="A6702" t="str">
        <f>"860010578"</f>
        <v>860010578</v>
      </c>
      <c r="B6702" t="str">
        <f>"EHPAD AU JARDIN DES ALISIERS"</f>
        <v>EHPAD AU JARDIN DES ALISIERS</v>
      </c>
      <c r="C6702" t="s">
        <v>70</v>
      </c>
    </row>
    <row r="6703" spans="1:3" x14ac:dyDescent="0.25">
      <c r="A6703" t="str">
        <f>"860010628"</f>
        <v>860010628</v>
      </c>
      <c r="B6703" t="str">
        <f>"EHPAD RESIDENCE LES TOURNESOLS"</f>
        <v>EHPAD RESIDENCE LES TOURNESOLS</v>
      </c>
      <c r="C6703" t="s">
        <v>70</v>
      </c>
    </row>
    <row r="6704" spans="1:3" x14ac:dyDescent="0.25">
      <c r="A6704" t="str">
        <f>"860010768"</f>
        <v>860010768</v>
      </c>
      <c r="B6704" t="str">
        <f>"EHPAD LE CHAMP DU CHAIL"</f>
        <v>EHPAD LE CHAMP DU CHAIL</v>
      </c>
      <c r="C6704" t="s">
        <v>70</v>
      </c>
    </row>
    <row r="6705" spans="1:3" x14ac:dyDescent="0.25">
      <c r="A6705" t="str">
        <f>"860010784"</f>
        <v>860010784</v>
      </c>
      <c r="B6705" t="str">
        <f>"EHPAD RES LES JARDINS DE CHARLOTTE"</f>
        <v>EHPAD RES LES JARDINS DE CHARLOTTE</v>
      </c>
      <c r="C6705" t="s">
        <v>70</v>
      </c>
    </row>
    <row r="6706" spans="1:3" x14ac:dyDescent="0.25">
      <c r="A6706" t="str">
        <f>"860010883"</f>
        <v>860010883</v>
      </c>
      <c r="B6706" t="str">
        <f>"EHPAD RESIDENCE LA TOUR DE VIGENNA"</f>
        <v>EHPAD RESIDENCE LA TOUR DE VIGENNA</v>
      </c>
      <c r="C6706" t="s">
        <v>70</v>
      </c>
    </row>
    <row r="6707" spans="1:3" x14ac:dyDescent="0.25">
      <c r="A6707" t="str">
        <f>"860010966"</f>
        <v>860010966</v>
      </c>
      <c r="B6707" t="str">
        <f>"EHPAD LE PRE SAINT JEAN"</f>
        <v>EHPAD LE PRE SAINT JEAN</v>
      </c>
      <c r="C6707" t="s">
        <v>70</v>
      </c>
    </row>
    <row r="6708" spans="1:3" x14ac:dyDescent="0.25">
      <c r="A6708" t="str">
        <f>"860010974"</f>
        <v>860010974</v>
      </c>
      <c r="B6708" t="str">
        <f>"EHPAD VILLA LES VARENNES"</f>
        <v>EHPAD VILLA LES VARENNES</v>
      </c>
      <c r="C6708" t="s">
        <v>70</v>
      </c>
    </row>
    <row r="6709" spans="1:3" x14ac:dyDescent="0.25">
      <c r="A6709" t="str">
        <f>"860010982"</f>
        <v>860010982</v>
      </c>
      <c r="B6709" t="str">
        <f>"EHPAD RESIDENCE EMERAUDES"</f>
        <v>EHPAD RESIDENCE EMERAUDES</v>
      </c>
      <c r="C6709" t="s">
        <v>70</v>
      </c>
    </row>
    <row r="6710" spans="1:3" x14ac:dyDescent="0.25">
      <c r="A6710" t="str">
        <f>"860011022"</f>
        <v>860011022</v>
      </c>
      <c r="B6710" t="str">
        <f>"EHPAD RESIDENCE LES TILLEULS"</f>
        <v>EHPAD RESIDENCE LES TILLEULS</v>
      </c>
      <c r="C6710" t="s">
        <v>70</v>
      </c>
    </row>
    <row r="6711" spans="1:3" x14ac:dyDescent="0.25">
      <c r="A6711" t="str">
        <f>"860011113"</f>
        <v>860011113</v>
      </c>
      <c r="B6711" t="str">
        <f>"EHPAD LE CLOS DES CHENES"</f>
        <v>EHPAD LE CLOS DES CHENES</v>
      </c>
      <c r="C6711" t="s">
        <v>70</v>
      </c>
    </row>
    <row r="6712" spans="1:3" x14ac:dyDescent="0.25">
      <c r="A6712" t="str">
        <f>"860011170"</f>
        <v>860011170</v>
      </c>
      <c r="B6712" t="str">
        <f>"EHPAD RESIDENCE SAINT-THIBAULT"</f>
        <v>EHPAD RESIDENCE SAINT-THIBAULT</v>
      </c>
      <c r="C6712" t="s">
        <v>70</v>
      </c>
    </row>
    <row r="6713" spans="1:3" x14ac:dyDescent="0.25">
      <c r="A6713" t="str">
        <f>"860011196"</f>
        <v>860011196</v>
      </c>
      <c r="B6713" t="str">
        <f>"EHPAD RESIDENCE LAREMY"</f>
        <v>EHPAD RESIDENCE LAREMY</v>
      </c>
      <c r="C6713" t="s">
        <v>70</v>
      </c>
    </row>
    <row r="6714" spans="1:3" x14ac:dyDescent="0.25">
      <c r="A6714" t="str">
        <f>"860011378"</f>
        <v>860011378</v>
      </c>
      <c r="B6714" t="str">
        <f>"EHPAD RESIDENCE PIERRE PERICARD"</f>
        <v>EHPAD RESIDENCE PIERRE PERICARD</v>
      </c>
      <c r="C6714" t="s">
        <v>70</v>
      </c>
    </row>
    <row r="6715" spans="1:3" x14ac:dyDescent="0.25">
      <c r="A6715" t="str">
        <f>"860011444"</f>
        <v>860011444</v>
      </c>
      <c r="B6715" t="str">
        <f>"EHPAD RESIDENCE DE LA FONTAINE"</f>
        <v>EHPAD RESIDENCE DE LA FONTAINE</v>
      </c>
      <c r="C6715" t="s">
        <v>70</v>
      </c>
    </row>
    <row r="6716" spans="1:3" x14ac:dyDescent="0.25">
      <c r="A6716" t="str">
        <f>"860011683"</f>
        <v>860011683</v>
      </c>
      <c r="B6716" t="str">
        <f>"EHPAD RESIDENCE GERARD GIRAULT"</f>
        <v>EHPAD RESIDENCE GERARD GIRAULT</v>
      </c>
      <c r="C6716" t="s">
        <v>70</v>
      </c>
    </row>
    <row r="6717" spans="1:3" x14ac:dyDescent="0.25">
      <c r="A6717" t="str">
        <f>"860012079"</f>
        <v>860012079</v>
      </c>
      <c r="B6717" t="str">
        <f>"EHPAD RESIDENCE PASTEUR"</f>
        <v>EHPAD RESIDENCE PASTEUR</v>
      </c>
      <c r="C6717" t="s">
        <v>70</v>
      </c>
    </row>
    <row r="6718" spans="1:3" x14ac:dyDescent="0.25">
      <c r="A6718" t="str">
        <f>"860012319"</f>
        <v>860012319</v>
      </c>
      <c r="B6718" t="str">
        <f>"EHPAD RESIDENCE RENE CROZET"</f>
        <v>EHPAD RESIDENCE RENE CROZET</v>
      </c>
      <c r="C6718" t="s">
        <v>70</v>
      </c>
    </row>
    <row r="6719" spans="1:3" x14ac:dyDescent="0.25">
      <c r="A6719" t="str">
        <f>"860012673"</f>
        <v>860012673</v>
      </c>
      <c r="B6719" t="str">
        <f>"EHPAD LE PETIT CLOS"</f>
        <v>EHPAD LE PETIT CLOS</v>
      </c>
      <c r="C6719" t="s">
        <v>70</v>
      </c>
    </row>
    <row r="6720" spans="1:3" x14ac:dyDescent="0.25">
      <c r="A6720" t="str">
        <f>"860012848"</f>
        <v>860012848</v>
      </c>
      <c r="B6720" t="str">
        <f>"EHPAD RES MARGUERITE LE TILLIER"</f>
        <v>EHPAD RES MARGUERITE LE TILLIER</v>
      </c>
      <c r="C6720" t="s">
        <v>70</v>
      </c>
    </row>
    <row r="6721" spans="1:3" x14ac:dyDescent="0.25">
      <c r="A6721" t="str">
        <f>"860013515"</f>
        <v>860013515</v>
      </c>
      <c r="B6721" t="str">
        <f>"EHPAD LE LOGIS DES COURS"</f>
        <v>EHPAD LE LOGIS DES COURS</v>
      </c>
      <c r="C6721" t="s">
        <v>70</v>
      </c>
    </row>
    <row r="6722" spans="1:3" x14ac:dyDescent="0.25">
      <c r="A6722" t="str">
        <f>"860013564"</f>
        <v>860013564</v>
      </c>
      <c r="B6722" t="str">
        <f>"EHPAD LES JARDINS DE SALOME"</f>
        <v>EHPAD LES JARDINS DE SALOME</v>
      </c>
      <c r="C6722" t="s">
        <v>70</v>
      </c>
    </row>
    <row r="6723" spans="1:3" x14ac:dyDescent="0.25">
      <c r="A6723" t="str">
        <f>"860014216"</f>
        <v>860014216</v>
      </c>
      <c r="B6723" t="str">
        <f>"EHPAD RESIDENCE LA ROSERAIE"</f>
        <v>EHPAD RESIDENCE LA ROSERAIE</v>
      </c>
      <c r="C6723" t="s">
        <v>70</v>
      </c>
    </row>
    <row r="6724" spans="1:3" x14ac:dyDescent="0.25">
      <c r="A6724" t="str">
        <f>"860780493"</f>
        <v>860780493</v>
      </c>
      <c r="B6724" t="str">
        <f>"EHPAD LES CHATAIGNIERS"</f>
        <v>EHPAD LES CHATAIGNIERS</v>
      </c>
      <c r="C6724" t="s">
        <v>70</v>
      </c>
    </row>
    <row r="6725" spans="1:3" x14ac:dyDescent="0.25">
      <c r="A6725" t="str">
        <f>"860780501"</f>
        <v>860780501</v>
      </c>
      <c r="B6725" t="str">
        <f>"EHPAD RESIDENCE LES CAPUCINES"</f>
        <v>EHPAD RESIDENCE LES CAPUCINES</v>
      </c>
      <c r="C6725" t="s">
        <v>70</v>
      </c>
    </row>
    <row r="6726" spans="1:3" x14ac:dyDescent="0.25">
      <c r="A6726" t="str">
        <f>"860780543"</f>
        <v>860780543</v>
      </c>
      <c r="B6726" t="str">
        <f>"EHPAD RESIDENCE LES BUDDLEIAS"</f>
        <v>EHPAD RESIDENCE LES BUDDLEIAS</v>
      </c>
      <c r="C6726" t="s">
        <v>70</v>
      </c>
    </row>
    <row r="6727" spans="1:3" x14ac:dyDescent="0.25">
      <c r="A6727" t="str">
        <f>"860780675"</f>
        <v>860780675</v>
      </c>
      <c r="B6727" t="str">
        <f>"EHPAD L'ARC EN CIEL"</f>
        <v>EHPAD L'ARC EN CIEL</v>
      </c>
      <c r="C6727" t="s">
        <v>70</v>
      </c>
    </row>
    <row r="6728" spans="1:3" x14ac:dyDescent="0.25">
      <c r="A6728" t="str">
        <f>"860780709"</f>
        <v>860780709</v>
      </c>
      <c r="B6728" t="str">
        <f>"EHPAD RES DU PONTREAU ST LUCIEN"</f>
        <v>EHPAD RES DU PONTREAU ST LUCIEN</v>
      </c>
      <c r="C6728" t="s">
        <v>70</v>
      </c>
    </row>
    <row r="6729" spans="1:3" x14ac:dyDescent="0.25">
      <c r="A6729" t="str">
        <f>"860780717"</f>
        <v>860780717</v>
      </c>
      <c r="B6729" t="str">
        <f>"EHPAD LA BRUNETTERIE"</f>
        <v>EHPAD LA BRUNETTERIE</v>
      </c>
      <c r="C6729" t="s">
        <v>70</v>
      </c>
    </row>
    <row r="6730" spans="1:3" x14ac:dyDescent="0.25">
      <c r="A6730" t="str">
        <f>"860780725"</f>
        <v>860780725</v>
      </c>
      <c r="B6730" t="str">
        <f>"EHPAD RESIDENCE SAINT-ANDRE"</f>
        <v>EHPAD RESIDENCE SAINT-ANDRE</v>
      </c>
      <c r="C6730" t="s">
        <v>70</v>
      </c>
    </row>
    <row r="6731" spans="1:3" x14ac:dyDescent="0.25">
      <c r="A6731" t="str">
        <f>"860780733"</f>
        <v>860780733</v>
      </c>
      <c r="B6731" t="str">
        <f>"EHPAD RES STE ELISABETH - BETHINES"</f>
        <v>EHPAD RES STE ELISABETH - BETHINES</v>
      </c>
      <c r="C6731" t="s">
        <v>70</v>
      </c>
    </row>
    <row r="6732" spans="1:3" x14ac:dyDescent="0.25">
      <c r="A6732" t="str">
        <f>"860780741"</f>
        <v>860780741</v>
      </c>
      <c r="B6732" t="str">
        <f>"EHPAD RESIDENCE STE ELISABETH"</f>
        <v>EHPAD RESIDENCE STE ELISABETH</v>
      </c>
      <c r="C6732" t="s">
        <v>70</v>
      </c>
    </row>
    <row r="6733" spans="1:3" x14ac:dyDescent="0.25">
      <c r="A6733" t="str">
        <f>"860780766"</f>
        <v>860780766</v>
      </c>
      <c r="B6733" t="str">
        <f>"EHPAD GRAND'MAISON DES SACRES COEUR"</f>
        <v>EHPAD GRAND'MAISON DES SACRES COEUR</v>
      </c>
      <c r="C6733" t="s">
        <v>70</v>
      </c>
    </row>
    <row r="6734" spans="1:3" x14ac:dyDescent="0.25">
      <c r="A6734" t="str">
        <f>"860781996"</f>
        <v>860781996</v>
      </c>
      <c r="B6734" t="str">
        <f>"EHPAD DE MONTMORILLON - CHU"</f>
        <v>EHPAD DE MONTMORILLON - CHU</v>
      </c>
      <c r="C6734" t="s">
        <v>70</v>
      </c>
    </row>
    <row r="6735" spans="1:3" x14ac:dyDescent="0.25">
      <c r="A6735" t="str">
        <f>"860784487"</f>
        <v>860784487</v>
      </c>
      <c r="B6735" t="str">
        <f>"EHPAD RESIDENCE LES CEDRES"</f>
        <v>EHPAD RESIDENCE LES CEDRES</v>
      </c>
      <c r="C6735" t="s">
        <v>70</v>
      </c>
    </row>
    <row r="6736" spans="1:3" x14ac:dyDescent="0.25">
      <c r="A6736" t="str">
        <f>"860784917"</f>
        <v>860784917</v>
      </c>
      <c r="B6736" t="str">
        <f>"EHPAD - THEODORE ARNAULT"</f>
        <v>EHPAD - THEODORE ARNAULT</v>
      </c>
      <c r="C6736" t="s">
        <v>70</v>
      </c>
    </row>
    <row r="6737" spans="1:3" x14ac:dyDescent="0.25">
      <c r="A6737" t="str">
        <f>"860785120"</f>
        <v>860785120</v>
      </c>
      <c r="B6737" t="str">
        <f>"EHPAD LES TILLEULS"</f>
        <v>EHPAD LES TILLEULS</v>
      </c>
      <c r="C6737" t="s">
        <v>70</v>
      </c>
    </row>
    <row r="6738" spans="1:3" x14ac:dyDescent="0.25">
      <c r="A6738" t="str">
        <f>"860785591"</f>
        <v>860785591</v>
      </c>
      <c r="B6738" t="str">
        <f>"EHPAD DE LOUDUN"</f>
        <v>EHPAD DE LOUDUN</v>
      </c>
      <c r="C6738" t="s">
        <v>70</v>
      </c>
    </row>
    <row r="6739" spans="1:3" x14ac:dyDescent="0.25">
      <c r="A6739" t="str">
        <f>"860785617"</f>
        <v>860785617</v>
      </c>
      <c r="B6739" t="str">
        <f>"EHPAD DE LUSIGNAN - CHU"</f>
        <v>EHPAD DE LUSIGNAN - CHU</v>
      </c>
      <c r="C6739" t="s">
        <v>70</v>
      </c>
    </row>
    <row r="6740" spans="1:3" x14ac:dyDescent="0.25">
      <c r="A6740" t="str">
        <f>"860786102"</f>
        <v>860786102</v>
      </c>
      <c r="B6740" t="str">
        <f>"EHPAD ASSOCIATION LARNAY SAGESSE"</f>
        <v>EHPAD ASSOCIATION LARNAY SAGESSE</v>
      </c>
      <c r="C6740" t="s">
        <v>70</v>
      </c>
    </row>
    <row r="6741" spans="1:3" x14ac:dyDescent="0.25">
      <c r="A6741" t="str">
        <f>"860789320"</f>
        <v>860789320</v>
      </c>
      <c r="B6741" t="str">
        <f>"EHPAD RESIDENCE BELLEVUE"</f>
        <v>EHPAD RESIDENCE BELLEVUE</v>
      </c>
      <c r="C6741" t="s">
        <v>70</v>
      </c>
    </row>
    <row r="6742" spans="1:3" x14ac:dyDescent="0.25">
      <c r="A6742" t="str">
        <f>"860789403"</f>
        <v>860789403</v>
      </c>
      <c r="B6742" t="str">
        <f>"EHPAD RESIDENCE LA REVERIE"</f>
        <v>EHPAD RESIDENCE LA REVERIE</v>
      </c>
      <c r="C6742" t="s">
        <v>70</v>
      </c>
    </row>
    <row r="6743" spans="1:3" x14ac:dyDescent="0.25">
      <c r="A6743" t="str">
        <f>"860789650"</f>
        <v>860789650</v>
      </c>
      <c r="B6743" t="str">
        <f>"EHPAD LE BELVEDERE SAINTE CLOTILDE"</f>
        <v>EHPAD LE BELVEDERE SAINTE CLOTILDE</v>
      </c>
      <c r="C6743" t="s">
        <v>70</v>
      </c>
    </row>
    <row r="6744" spans="1:3" x14ac:dyDescent="0.25">
      <c r="A6744" t="str">
        <f>"860789718"</f>
        <v>860789718</v>
      </c>
      <c r="B6744" t="str">
        <f>"EHPAD RESIDENCE D'OR"</f>
        <v>EHPAD RESIDENCE D'OR</v>
      </c>
      <c r="C6744" t="s">
        <v>70</v>
      </c>
    </row>
    <row r="6745" spans="1:3" x14ac:dyDescent="0.25">
      <c r="A6745" t="str">
        <f>"860789726"</f>
        <v>860789726</v>
      </c>
      <c r="B6745" t="str">
        <f>"EHPAD RESIDENCE DES TAMISIERS"</f>
        <v>EHPAD RESIDENCE DES TAMISIERS</v>
      </c>
      <c r="C6745" t="s">
        <v>70</v>
      </c>
    </row>
    <row r="6746" spans="1:3" x14ac:dyDescent="0.25">
      <c r="A6746" t="str">
        <f>"860789734"</f>
        <v>860789734</v>
      </c>
      <c r="B6746" t="str">
        <f>"EHPAD RESIDENCE CERES"</f>
        <v>EHPAD RESIDENCE CERES</v>
      </c>
      <c r="C6746" t="s">
        <v>70</v>
      </c>
    </row>
    <row r="6747" spans="1:3" x14ac:dyDescent="0.25">
      <c r="A6747" t="str">
        <f>"860789742"</f>
        <v>860789742</v>
      </c>
      <c r="B6747" t="str">
        <f>"EHPAD RESIDENCE PORTE DU MARTRAY"</f>
        <v>EHPAD RESIDENCE PORTE DU MARTRAY</v>
      </c>
      <c r="C6747" t="s">
        <v>70</v>
      </c>
    </row>
    <row r="6748" spans="1:3" x14ac:dyDescent="0.25">
      <c r="A6748" t="str">
        <f>"860789767"</f>
        <v>860789767</v>
      </c>
      <c r="B6748" t="str">
        <f>"EHPAD RESIDENCE LES GRILLONS"</f>
        <v>EHPAD RESIDENCE LES GRILLONS</v>
      </c>
      <c r="C6748" t="s">
        <v>70</v>
      </c>
    </row>
    <row r="6749" spans="1:3" x14ac:dyDescent="0.25">
      <c r="A6749" t="str">
        <f>"860789858"</f>
        <v>860789858</v>
      </c>
      <c r="B6749" t="str">
        <f>"EHPAD RESIDENCE LES FEUILLANTS"</f>
        <v>EHPAD RESIDENCE LES FEUILLANTS</v>
      </c>
      <c r="C6749" t="s">
        <v>70</v>
      </c>
    </row>
    <row r="6750" spans="1:3" x14ac:dyDescent="0.25">
      <c r="A6750" t="str">
        <f>"860789916"</f>
        <v>860789916</v>
      </c>
      <c r="B6750" t="str">
        <f>"EHPAD DE CHAUNAY"</f>
        <v>EHPAD DE CHAUNAY</v>
      </c>
      <c r="C6750" t="s">
        <v>70</v>
      </c>
    </row>
    <row r="6751" spans="1:3" x14ac:dyDescent="0.25">
      <c r="A6751" t="str">
        <f>"860789932"</f>
        <v>860789932</v>
      </c>
      <c r="B6751" t="str">
        <f>"EHPAD RESIDENCE DU LAC"</f>
        <v>EHPAD RESIDENCE DU LAC</v>
      </c>
      <c r="C6751" t="s">
        <v>70</v>
      </c>
    </row>
    <row r="6752" spans="1:3" x14ac:dyDescent="0.25">
      <c r="A6752" t="str">
        <f>"860789965"</f>
        <v>860789965</v>
      </c>
      <c r="B6752" t="str">
        <f>"EHPAD RESIDENCE LES SCEVOLLES"</f>
        <v>EHPAD RESIDENCE LES SCEVOLLES</v>
      </c>
      <c r="C6752" t="s">
        <v>70</v>
      </c>
    </row>
    <row r="6753" spans="1:3" x14ac:dyDescent="0.25">
      <c r="A6753" t="str">
        <f>"860789981"</f>
        <v>860789981</v>
      </c>
      <c r="B6753" t="str">
        <f>"EHPAD RESIDENCE LA CHEZE D'OR"</f>
        <v>EHPAD RESIDENCE LA CHEZE D'OR</v>
      </c>
      <c r="C6753" t="s">
        <v>70</v>
      </c>
    </row>
    <row r="6754" spans="1:3" x14ac:dyDescent="0.25">
      <c r="A6754" t="str">
        <f>"860790005"</f>
        <v>860790005</v>
      </c>
      <c r="B6754" t="str">
        <f>"EHPAD RESIDENCE LA PETITE SUISSE"</f>
        <v>EHPAD RESIDENCE LA PETITE SUISSE</v>
      </c>
      <c r="C6754" t="s">
        <v>70</v>
      </c>
    </row>
    <row r="6755" spans="1:3" x14ac:dyDescent="0.25">
      <c r="A6755" t="str">
        <f>"860790187"</f>
        <v>860790187</v>
      </c>
      <c r="B6755" t="str">
        <f>"EHPAD RESIDENCE LA NOUGERAIE"</f>
        <v>EHPAD RESIDENCE LA NOUGERAIE</v>
      </c>
      <c r="C6755" t="s">
        <v>70</v>
      </c>
    </row>
    <row r="6756" spans="1:3" x14ac:dyDescent="0.25">
      <c r="A6756" t="str">
        <f>"860790260"</f>
        <v>860790260</v>
      </c>
      <c r="B6756" t="str">
        <f>"EHPAD RESIDENCE LES FOUGERES"</f>
        <v>EHPAD RESIDENCE LES FOUGERES</v>
      </c>
      <c r="C6756" t="s">
        <v>70</v>
      </c>
    </row>
    <row r="6757" spans="1:3" x14ac:dyDescent="0.25">
      <c r="A6757" t="str">
        <f>"860790476"</f>
        <v>860790476</v>
      </c>
      <c r="B6757" t="str">
        <f>"EHPAD RESIDENCE LA GENOLLIERE"</f>
        <v>EHPAD RESIDENCE LA GENOLLIERE</v>
      </c>
      <c r="C6757" t="s">
        <v>70</v>
      </c>
    </row>
    <row r="6758" spans="1:3" x14ac:dyDescent="0.25">
      <c r="A6758" t="str">
        <f>"860790625"</f>
        <v>860790625</v>
      </c>
      <c r="B6758" t="str">
        <f>"EHPAD LES ALBIZZIAS"</f>
        <v>EHPAD LES ALBIZZIAS</v>
      </c>
      <c r="C6758" t="s">
        <v>70</v>
      </c>
    </row>
    <row r="6759" spans="1:3" x14ac:dyDescent="0.25">
      <c r="A6759" t="str">
        <f>"860790641"</f>
        <v>860790641</v>
      </c>
      <c r="B6759" t="str">
        <f>"EHPAD LE VILLAGE"</f>
        <v>EHPAD LE VILLAGE</v>
      </c>
      <c r="C6759" t="s">
        <v>70</v>
      </c>
    </row>
    <row r="6760" spans="1:3" x14ac:dyDescent="0.25">
      <c r="A6760" t="str">
        <f>"860791037"</f>
        <v>860791037</v>
      </c>
      <c r="B6760" t="str">
        <f>"EHPAD RESIDENCE KORIAN AGAPANTHE"</f>
        <v>EHPAD RESIDENCE KORIAN AGAPANTHE</v>
      </c>
      <c r="C6760" t="s">
        <v>70</v>
      </c>
    </row>
    <row r="6761" spans="1:3" x14ac:dyDescent="0.25">
      <c r="A6761" t="str">
        <f>"860791128"</f>
        <v>860791128</v>
      </c>
      <c r="B6761" t="str">
        <f>"EHPAD LES ROUSSELIERES"</f>
        <v>EHPAD LES ROUSSELIERES</v>
      </c>
      <c r="C6761" t="s">
        <v>70</v>
      </c>
    </row>
    <row r="6762" spans="1:3" x14ac:dyDescent="0.25">
      <c r="A6762" t="str">
        <f>"860791144"</f>
        <v>860791144</v>
      </c>
      <c r="B6762" t="str">
        <f>"EHPAD KORIAN LA CLAIRIERE AUX CHENES"</f>
        <v>EHPAD KORIAN LA CLAIRIERE AUX CHENES</v>
      </c>
      <c r="C6762" t="s">
        <v>70</v>
      </c>
    </row>
    <row r="6763" spans="1:3" x14ac:dyDescent="0.25">
      <c r="A6763" t="str">
        <f>"870002532"</f>
        <v>870002532</v>
      </c>
      <c r="B6763" t="str">
        <f>"EHPAD HIHL - BELLAC"</f>
        <v>EHPAD HIHL - BELLAC</v>
      </c>
      <c r="C6763" t="s">
        <v>70</v>
      </c>
    </row>
    <row r="6764" spans="1:3" x14ac:dyDescent="0.25">
      <c r="A6764" t="str">
        <f>"870003621"</f>
        <v>870003621</v>
      </c>
      <c r="B6764" t="str">
        <f>"RESIDENCE SAINT-MARTIAL"</f>
        <v>RESIDENCE SAINT-MARTIAL</v>
      </c>
      <c r="C6764" t="s">
        <v>70</v>
      </c>
    </row>
    <row r="6765" spans="1:3" x14ac:dyDescent="0.25">
      <c r="A6765" t="str">
        <f>"870003639"</f>
        <v>870003639</v>
      </c>
      <c r="B6765" t="str">
        <f>"EHPAD RESIDENCE MICHEL MARQUET"</f>
        <v>EHPAD RESIDENCE MICHEL MARQUET</v>
      </c>
      <c r="C6765" t="s">
        <v>70</v>
      </c>
    </row>
    <row r="6766" spans="1:3" x14ac:dyDescent="0.25">
      <c r="A6766" t="str">
        <f>"870003647"</f>
        <v>870003647</v>
      </c>
      <c r="B6766" t="str">
        <f>"EHPAD RESIDENCE DU PUY-CHAT"</f>
        <v>EHPAD RESIDENCE DU PUY-CHAT</v>
      </c>
      <c r="C6766" t="s">
        <v>70</v>
      </c>
    </row>
    <row r="6767" spans="1:3" x14ac:dyDescent="0.25">
      <c r="A6767" t="str">
        <f>"870003720"</f>
        <v>870003720</v>
      </c>
      <c r="B6767" t="str">
        <f>"EHPAD SAINT YRIEIX LA PERCHE"</f>
        <v>EHPAD SAINT YRIEIX LA PERCHE</v>
      </c>
      <c r="C6767" t="s">
        <v>70</v>
      </c>
    </row>
    <row r="6768" spans="1:3" x14ac:dyDescent="0.25">
      <c r="A6768" t="str">
        <f>"870003738"</f>
        <v>870003738</v>
      </c>
      <c r="B6768" t="str">
        <f>"EHPAD RESIDENCE LA PELAUDINE"</f>
        <v>EHPAD RESIDENCE LA PELAUDINE</v>
      </c>
      <c r="C6768" t="s">
        <v>70</v>
      </c>
    </row>
    <row r="6769" spans="1:3" x14ac:dyDescent="0.25">
      <c r="A6769" t="str">
        <f>"870003746"</f>
        <v>870003746</v>
      </c>
      <c r="B6769" t="str">
        <f>"EHPAD CENTRE GERIATRIQUE DU MURET"</f>
        <v>EHPAD CENTRE GERIATRIQUE DU MURET</v>
      </c>
      <c r="C6769" t="s">
        <v>70</v>
      </c>
    </row>
    <row r="6770" spans="1:3" x14ac:dyDescent="0.25">
      <c r="A6770" t="str">
        <f>"870003753"</f>
        <v>870003753</v>
      </c>
      <c r="B6770" t="str">
        <f>"EHPAD RESIDENCE DU CHATENET"</f>
        <v>EHPAD RESIDENCE DU CHATENET</v>
      </c>
      <c r="C6770" t="s">
        <v>70</v>
      </c>
    </row>
    <row r="6771" spans="1:3" x14ac:dyDescent="0.25">
      <c r="A6771" t="str">
        <f>"870003779"</f>
        <v>870003779</v>
      </c>
      <c r="B6771" t="str">
        <f>"RESIDENCE DE L'AIXETTE"</f>
        <v>RESIDENCE DE L'AIXETTE</v>
      </c>
      <c r="C6771" t="s">
        <v>70</v>
      </c>
    </row>
    <row r="6772" spans="1:3" x14ac:dyDescent="0.25">
      <c r="A6772" t="str">
        <f>"870003787"</f>
        <v>870003787</v>
      </c>
      <c r="B6772" t="str">
        <f>"EHPAD RESIDENCE LE NID"</f>
        <v>EHPAD RESIDENCE LE NID</v>
      </c>
      <c r="C6772" t="s">
        <v>70</v>
      </c>
    </row>
    <row r="6773" spans="1:3" x14ac:dyDescent="0.25">
      <c r="A6773" t="str">
        <f>"870003803"</f>
        <v>870003803</v>
      </c>
      <c r="B6773" t="str">
        <f>"RESIDENCE DU CEDRE"</f>
        <v>RESIDENCE DU CEDRE</v>
      </c>
      <c r="C6773" t="s">
        <v>70</v>
      </c>
    </row>
    <row r="6774" spans="1:3" x14ac:dyDescent="0.25">
      <c r="A6774" t="str">
        <f>"870005535"</f>
        <v>870005535</v>
      </c>
      <c r="B6774" t="str">
        <f>"RESIDENCE LES TERRASSES"</f>
        <v>RESIDENCE LES TERRASSES</v>
      </c>
      <c r="C6774" t="s">
        <v>70</v>
      </c>
    </row>
    <row r="6775" spans="1:3" x14ac:dyDescent="0.25">
      <c r="A6775" t="str">
        <f>"870005782"</f>
        <v>870005782</v>
      </c>
      <c r="B6775" t="str">
        <f>"EHPAD ANDRE VIRONDEAU"</f>
        <v>EHPAD ANDRE VIRONDEAU</v>
      </c>
      <c r="C6775" t="s">
        <v>70</v>
      </c>
    </row>
    <row r="6776" spans="1:3" x14ac:dyDescent="0.25">
      <c r="A6776" t="str">
        <f>"870005816"</f>
        <v>870005816</v>
      </c>
      <c r="B6776" t="str">
        <f>"EHPAD HIHL - MAGNAC-LAVAL"</f>
        <v>EHPAD HIHL - MAGNAC-LAVAL</v>
      </c>
      <c r="C6776" t="s">
        <v>70</v>
      </c>
    </row>
    <row r="6777" spans="1:3" x14ac:dyDescent="0.25">
      <c r="A6777" t="str">
        <f>"870005832"</f>
        <v>870005832</v>
      </c>
      <c r="B6777" t="str">
        <f>"EHPAD ST LEONARD DE NOBLAT"</f>
        <v>EHPAD ST LEONARD DE NOBLAT</v>
      </c>
      <c r="C6777" t="s">
        <v>70</v>
      </c>
    </row>
    <row r="6778" spans="1:3" x14ac:dyDescent="0.25">
      <c r="A6778" t="str">
        <f>"870005840"</f>
        <v>870005840</v>
      </c>
      <c r="B6778" t="str">
        <f>"EHPAD HIHL - LE DORAT"</f>
        <v>EHPAD HIHL - LE DORAT</v>
      </c>
      <c r="C6778" t="s">
        <v>70</v>
      </c>
    </row>
    <row r="6779" spans="1:3" x14ac:dyDescent="0.25">
      <c r="A6779" t="str">
        <f>"870005857"</f>
        <v>870005857</v>
      </c>
      <c r="B6779" t="str">
        <f>"EHPAD L'AGE D'OR"</f>
        <v>EHPAD L'AGE D'OR</v>
      </c>
      <c r="C6779" t="s">
        <v>70</v>
      </c>
    </row>
    <row r="6780" spans="1:3" x14ac:dyDescent="0.25">
      <c r="A6780" t="str">
        <f>"870005949"</f>
        <v>870005949</v>
      </c>
      <c r="B6780" t="str">
        <f>"EHPAD RESIDENCE DINS LOU PELOU"</f>
        <v>EHPAD RESIDENCE DINS LOU PELOU</v>
      </c>
      <c r="C6780" t="s">
        <v>70</v>
      </c>
    </row>
    <row r="6781" spans="1:3" x14ac:dyDescent="0.25">
      <c r="A6781" t="str">
        <f>"870005972"</f>
        <v>870005972</v>
      </c>
      <c r="B6781" t="str">
        <f>"EHPAD ADELINE"</f>
        <v>EHPAD ADELINE</v>
      </c>
      <c r="C6781" t="s">
        <v>70</v>
      </c>
    </row>
    <row r="6782" spans="1:3" x14ac:dyDescent="0.25">
      <c r="A6782" t="str">
        <f>"870005998"</f>
        <v>870005998</v>
      </c>
      <c r="B6782" t="str">
        <f>"EHPAD MARCEL FAURE"</f>
        <v>EHPAD MARCEL FAURE</v>
      </c>
      <c r="C6782" t="s">
        <v>70</v>
      </c>
    </row>
    <row r="6783" spans="1:3" x14ac:dyDescent="0.25">
      <c r="A6783" t="str">
        <f>"870006004"</f>
        <v>870006004</v>
      </c>
      <c r="B6783" t="str">
        <f>"EHPAD PR JOSEPH DE LEOBARDY"</f>
        <v>EHPAD PR JOSEPH DE LEOBARDY</v>
      </c>
      <c r="C6783" t="s">
        <v>70</v>
      </c>
    </row>
    <row r="6784" spans="1:3" x14ac:dyDescent="0.25">
      <c r="A6784" t="str">
        <f>"870006251"</f>
        <v>870006251</v>
      </c>
      <c r="B6784" t="str">
        <f>"EHPAD RESIDENCE LA VALOINE"</f>
        <v>EHPAD RESIDENCE LA VALOINE</v>
      </c>
      <c r="C6784" t="s">
        <v>70</v>
      </c>
    </row>
    <row r="6785" spans="1:3" x14ac:dyDescent="0.25">
      <c r="A6785" t="str">
        <f>"870006269"</f>
        <v>870006269</v>
      </c>
      <c r="B6785" t="str">
        <f>"RESIDENCE LES PINS"</f>
        <v>RESIDENCE LES PINS</v>
      </c>
      <c r="C6785" t="s">
        <v>70</v>
      </c>
    </row>
    <row r="6786" spans="1:3" x14ac:dyDescent="0.25">
      <c r="A6786" t="str">
        <f>"870006277"</f>
        <v>870006277</v>
      </c>
      <c r="B6786" t="str">
        <f>"EHPAD RESIDENCE DU PARC"</f>
        <v>EHPAD RESIDENCE DU PARC</v>
      </c>
      <c r="C6786" t="s">
        <v>70</v>
      </c>
    </row>
    <row r="6787" spans="1:3" x14ac:dyDescent="0.25">
      <c r="A6787" t="str">
        <f>"870006913"</f>
        <v>870006913</v>
      </c>
      <c r="B6787" t="str">
        <f>"EHPAD SUZANNE VALADON"</f>
        <v>EHPAD SUZANNE VALADON</v>
      </c>
      <c r="C6787" t="s">
        <v>70</v>
      </c>
    </row>
    <row r="6788" spans="1:3" x14ac:dyDescent="0.25">
      <c r="A6788" t="str">
        <f>"870006921"</f>
        <v>870006921</v>
      </c>
      <c r="B6788" t="str">
        <f>"EHPAD RESIDENCE JEAN MAHAUT"</f>
        <v>EHPAD RESIDENCE JEAN MAHAUT</v>
      </c>
      <c r="C6788" t="s">
        <v>70</v>
      </c>
    </row>
    <row r="6789" spans="1:3" x14ac:dyDescent="0.25">
      <c r="A6789" t="str">
        <f>"870007663"</f>
        <v>870007663</v>
      </c>
      <c r="B6789" t="str">
        <f>"RESIDENCE PUY MARTIN"</f>
        <v>RESIDENCE PUY MARTIN</v>
      </c>
      <c r="C6789" t="s">
        <v>70</v>
      </c>
    </row>
    <row r="6790" spans="1:3" x14ac:dyDescent="0.25">
      <c r="A6790" t="str">
        <f>"870008745"</f>
        <v>870008745</v>
      </c>
      <c r="B6790" t="str">
        <f>"EHPAD JALOUNEIX BERTROFF"</f>
        <v>EHPAD JALOUNEIX BERTROFF</v>
      </c>
      <c r="C6790" t="s">
        <v>70</v>
      </c>
    </row>
    <row r="6791" spans="1:3" x14ac:dyDescent="0.25">
      <c r="A6791" t="str">
        <f>"870009222"</f>
        <v>870009222</v>
      </c>
      <c r="B6791" t="str">
        <f>"RESIDENCE LES BRIANCES"</f>
        <v>RESIDENCE LES BRIANCES</v>
      </c>
      <c r="C6791" t="s">
        <v>70</v>
      </c>
    </row>
    <row r="6792" spans="1:3" x14ac:dyDescent="0.25">
      <c r="A6792" t="str">
        <f>"870010089"</f>
        <v>870010089</v>
      </c>
      <c r="B6792" t="str">
        <f>"EHPAD DU CHATEAU"</f>
        <v>EHPAD DU CHATEAU</v>
      </c>
      <c r="C6792" t="s">
        <v>70</v>
      </c>
    </row>
    <row r="6793" spans="1:3" x14ac:dyDescent="0.25">
      <c r="A6793" t="str">
        <f>"870010212"</f>
        <v>870010212</v>
      </c>
      <c r="B6793" t="str">
        <f>"EHPAD LE ROUSSILLON"</f>
        <v>EHPAD LE ROUSSILLON</v>
      </c>
      <c r="C6793" t="s">
        <v>70</v>
      </c>
    </row>
    <row r="6794" spans="1:3" x14ac:dyDescent="0.25">
      <c r="A6794" t="str">
        <f>"870010758"</f>
        <v>870010758</v>
      </c>
      <c r="B6794" t="str">
        <f>"EHPAD RESIDENCE LES CHENES"</f>
        <v>EHPAD RESIDENCE LES CHENES</v>
      </c>
      <c r="C6794" t="s">
        <v>70</v>
      </c>
    </row>
    <row r="6795" spans="1:3" x14ac:dyDescent="0.25">
      <c r="A6795" t="str">
        <f>"870014487"</f>
        <v>870014487</v>
      </c>
      <c r="B6795" t="str">
        <f>"EHPAD CHANTEMERLE"</f>
        <v>EHPAD CHANTEMERLE</v>
      </c>
      <c r="C6795" t="s">
        <v>70</v>
      </c>
    </row>
    <row r="6796" spans="1:3" x14ac:dyDescent="0.25">
      <c r="A6796" t="str">
        <f>"870014511"</f>
        <v>870014511</v>
      </c>
      <c r="B6796" t="str">
        <f>"EHPAD LE CANTOU"</f>
        <v>EHPAD LE CANTOU</v>
      </c>
      <c r="C6796" t="s">
        <v>70</v>
      </c>
    </row>
    <row r="6797" spans="1:3" x14ac:dyDescent="0.25">
      <c r="A6797" t="str">
        <f>"870015468"</f>
        <v>870015468</v>
      </c>
      <c r="B6797" t="str">
        <f>"EHPAD LA CHENAIE"</f>
        <v>EHPAD LA CHENAIE</v>
      </c>
      <c r="C6797" t="s">
        <v>70</v>
      </c>
    </row>
    <row r="6798" spans="1:3" x14ac:dyDescent="0.25">
      <c r="A6798" t="str">
        <f>"870016011"</f>
        <v>870016011</v>
      </c>
      <c r="B6798" t="str">
        <f>"EHPAD RESIDENCE DU PARC"</f>
        <v>EHPAD RESIDENCE DU PARC</v>
      </c>
      <c r="C6798" t="s">
        <v>70</v>
      </c>
    </row>
    <row r="6799" spans="1:3" x14ac:dyDescent="0.25">
      <c r="A6799" t="str">
        <f>"870016359"</f>
        <v>870016359</v>
      </c>
      <c r="B6799" t="str">
        <f>"EHPAD LES 5 SENS"</f>
        <v>EHPAD LES 5 SENS</v>
      </c>
      <c r="C6799" t="s">
        <v>70</v>
      </c>
    </row>
    <row r="6800" spans="1:3" x14ac:dyDescent="0.25">
      <c r="A6800" t="str">
        <f>"870016417"</f>
        <v>870016417</v>
      </c>
      <c r="B6800" t="str">
        <f>"EHPAD LE MAS ROME"</f>
        <v>EHPAD LE MAS ROME</v>
      </c>
      <c r="C6800" t="s">
        <v>70</v>
      </c>
    </row>
    <row r="6801" spans="1:3" x14ac:dyDescent="0.25">
      <c r="A6801" t="str">
        <f>"870016516"</f>
        <v>870016516</v>
      </c>
      <c r="B6801" t="str">
        <f>"EHPAD D'ISLE"</f>
        <v>EHPAD D'ISLE</v>
      </c>
      <c r="C6801" t="s">
        <v>70</v>
      </c>
    </row>
    <row r="6802" spans="1:3" x14ac:dyDescent="0.25">
      <c r="A6802" t="str">
        <f>"870016623"</f>
        <v>870016623</v>
      </c>
      <c r="B6802" t="str">
        <f>"EHPAD CHU DE LIMOGES"</f>
        <v>EHPAD CHU DE LIMOGES</v>
      </c>
      <c r="C6802" t="s">
        <v>70</v>
      </c>
    </row>
    <row r="6803" spans="1:3" x14ac:dyDescent="0.25">
      <c r="A6803" t="str">
        <f>"870017977"</f>
        <v>870017977</v>
      </c>
      <c r="B6803" t="str">
        <f>"EHPAD LE HAMEAU DU BUIS"</f>
        <v>EHPAD LE HAMEAU DU BUIS</v>
      </c>
      <c r="C6803" t="s">
        <v>70</v>
      </c>
    </row>
    <row r="6804" spans="1:3" x14ac:dyDescent="0.25">
      <c r="A6804" t="str">
        <f>"880001359"</f>
        <v>880001359</v>
      </c>
      <c r="B6804" t="str">
        <f>"LES JARDINS DES CUVIERES"</f>
        <v>LES JARDINS DES CUVIERES</v>
      </c>
      <c r="C6804" t="s">
        <v>62</v>
      </c>
    </row>
    <row r="6805" spans="1:3" x14ac:dyDescent="0.25">
      <c r="A6805" t="str">
        <f>"880001706"</f>
        <v>880001706</v>
      </c>
      <c r="B6805" t="str">
        <f>"MAISON RETRAITE 'JUSTINE PERNOT'"</f>
        <v>MAISON RETRAITE 'JUSTINE PERNOT'</v>
      </c>
      <c r="C6805" t="s">
        <v>62</v>
      </c>
    </row>
    <row r="6806" spans="1:3" x14ac:dyDescent="0.25">
      <c r="A6806" t="str">
        <f>"880001763"</f>
        <v>880001763</v>
      </c>
      <c r="B6806" t="str">
        <f>"KORIAN VILLA SPINALE"</f>
        <v>KORIAN VILLA SPINALE</v>
      </c>
      <c r="C6806" t="s">
        <v>62</v>
      </c>
    </row>
    <row r="6807" spans="1:3" x14ac:dyDescent="0.25">
      <c r="A6807" t="str">
        <f>"880004908"</f>
        <v>880004908</v>
      </c>
      <c r="B6807" t="str">
        <f>"EHPAD LES AULNES"</f>
        <v>EHPAD LES AULNES</v>
      </c>
      <c r="C6807" t="s">
        <v>62</v>
      </c>
    </row>
    <row r="6808" spans="1:3" x14ac:dyDescent="0.25">
      <c r="A6808" t="str">
        <f>"880004999"</f>
        <v>880004999</v>
      </c>
      <c r="B6808" t="str">
        <f>"EHPAD LES NOISETIERS"</f>
        <v>EHPAD LES NOISETIERS</v>
      </c>
      <c r="C6808" t="s">
        <v>62</v>
      </c>
    </row>
    <row r="6809" spans="1:3" x14ac:dyDescent="0.25">
      <c r="A6809" t="str">
        <f>"880005079"</f>
        <v>880005079</v>
      </c>
      <c r="B6809" t="str">
        <f>"CHI HMV - EHPAD LEA ANDRE"</f>
        <v>CHI HMV - EHPAD LEA ANDRE</v>
      </c>
      <c r="C6809" t="s">
        <v>62</v>
      </c>
    </row>
    <row r="6810" spans="1:3" x14ac:dyDescent="0.25">
      <c r="A6810" t="str">
        <f>"880005848"</f>
        <v>880005848</v>
      </c>
      <c r="B6810" t="str">
        <f>"EHPAD LES BRUYERES"</f>
        <v>EHPAD LES BRUYERES</v>
      </c>
      <c r="C6810" t="s">
        <v>62</v>
      </c>
    </row>
    <row r="6811" spans="1:3" x14ac:dyDescent="0.25">
      <c r="A6811" t="str">
        <f>"880006747"</f>
        <v>880006747</v>
      </c>
      <c r="B6811" t="str">
        <f>"EHPAD HL LAMARCHE SITE MARTIGNY LES BA"</f>
        <v>EHPAD HL LAMARCHE SITE MARTIGNY LES BA</v>
      </c>
      <c r="C6811" t="s">
        <v>62</v>
      </c>
    </row>
    <row r="6812" spans="1:3" x14ac:dyDescent="0.25">
      <c r="A6812" t="str">
        <f>"880009204"</f>
        <v>880009204</v>
      </c>
      <c r="B6812" t="str">
        <f>"CHI HMV - EHPAD DES 5 VALLEES"</f>
        <v>CHI HMV - EHPAD DES 5 VALLEES</v>
      </c>
      <c r="C6812" t="s">
        <v>62</v>
      </c>
    </row>
    <row r="6813" spans="1:3" x14ac:dyDescent="0.25">
      <c r="A6813" t="str">
        <f>"880780564"</f>
        <v>880780564</v>
      </c>
      <c r="B6813" t="str">
        <f>"'LA RESIDENCE OZANAM'"</f>
        <v>'LA RESIDENCE OZANAM'</v>
      </c>
      <c r="C6813" t="s">
        <v>62</v>
      </c>
    </row>
    <row r="6814" spans="1:3" x14ac:dyDescent="0.25">
      <c r="A6814" t="str">
        <f>"880780697"</f>
        <v>880780697</v>
      </c>
      <c r="B6814" t="str">
        <f>"MAISON DE RETRAITE LES MARRONNIERS"</f>
        <v>MAISON DE RETRAITE LES MARRONNIERS</v>
      </c>
      <c r="C6814" t="s">
        <v>62</v>
      </c>
    </row>
    <row r="6815" spans="1:3" x14ac:dyDescent="0.25">
      <c r="A6815" t="str">
        <f>"880780713"</f>
        <v>880780713</v>
      </c>
      <c r="B6815" t="str">
        <f>"MAISON DE RETRAITE D'ELOYES"</f>
        <v>MAISON DE RETRAITE D'ELOYES</v>
      </c>
      <c r="C6815" t="s">
        <v>62</v>
      </c>
    </row>
    <row r="6816" spans="1:3" x14ac:dyDescent="0.25">
      <c r="A6816" t="str">
        <f>"880780788"</f>
        <v>880780788</v>
      </c>
      <c r="B6816" t="str">
        <f>"MAISON RETRAITE ACCUEIL DE LA VOLOGNE"</f>
        <v>MAISON RETRAITE ACCUEIL DE LA VOLOGNE</v>
      </c>
      <c r="C6816" t="s">
        <v>62</v>
      </c>
    </row>
    <row r="6817" spans="1:3" x14ac:dyDescent="0.25">
      <c r="A6817" t="str">
        <f>"880781059"</f>
        <v>880781059</v>
      </c>
      <c r="B6817" t="str">
        <f>"EHPAD LES BUISSONS XERTIGNY"</f>
        <v>EHPAD LES BUISSONS XERTIGNY</v>
      </c>
      <c r="C6817" t="s">
        <v>62</v>
      </c>
    </row>
    <row r="6818" spans="1:3" x14ac:dyDescent="0.25">
      <c r="A6818" t="str">
        <f>"880781091"</f>
        <v>880781091</v>
      </c>
      <c r="B6818" t="str">
        <f>"MAISON DE RETRAITE DE SAINT-GENEST"</f>
        <v>MAISON DE RETRAITE DE SAINT-GENEST</v>
      </c>
      <c r="C6818" t="s">
        <v>62</v>
      </c>
    </row>
    <row r="6819" spans="1:3" x14ac:dyDescent="0.25">
      <c r="A6819" t="str">
        <f>"880781133"</f>
        <v>880781133</v>
      </c>
      <c r="B6819" t="str">
        <f>"MAISON RETRAITE INTERCOM. DE BRUYERES"</f>
        <v>MAISON RETRAITE INTERCOM. DE BRUYERES</v>
      </c>
      <c r="C6819" t="s">
        <v>62</v>
      </c>
    </row>
    <row r="6820" spans="1:3" x14ac:dyDescent="0.25">
      <c r="A6820" t="str">
        <f>"880781141"</f>
        <v>880781141</v>
      </c>
      <c r="B6820" t="str">
        <f>"MAISON RETRAITE ST-MARTIN"</f>
        <v>MAISON RETRAITE ST-MARTIN</v>
      </c>
      <c r="C6820" t="s">
        <v>62</v>
      </c>
    </row>
    <row r="6821" spans="1:3" x14ac:dyDescent="0.25">
      <c r="A6821" t="str">
        <f>"880781158"</f>
        <v>880781158</v>
      </c>
      <c r="B6821" t="str">
        <f>"EHPAD LE FORFELET"</f>
        <v>EHPAD LE FORFELET</v>
      </c>
      <c r="C6821" t="s">
        <v>62</v>
      </c>
    </row>
    <row r="6822" spans="1:3" x14ac:dyDescent="0.25">
      <c r="A6822" t="str">
        <f>"880781166"</f>
        <v>880781166</v>
      </c>
      <c r="B6822" t="str">
        <f>"MAISON RETRAITE RAYNALD MERLIN"</f>
        <v>MAISON RETRAITE RAYNALD MERLIN</v>
      </c>
      <c r="C6822" t="s">
        <v>62</v>
      </c>
    </row>
    <row r="6823" spans="1:3" x14ac:dyDescent="0.25">
      <c r="A6823" t="str">
        <f>"880781174"</f>
        <v>880781174</v>
      </c>
      <c r="B6823" t="str">
        <f>"MAISON DE RETRAITE ' SAINT SIMON'"</f>
        <v>MAISON DE RETRAITE ' SAINT SIMON'</v>
      </c>
      <c r="C6823" t="s">
        <v>62</v>
      </c>
    </row>
    <row r="6824" spans="1:3" x14ac:dyDescent="0.25">
      <c r="A6824" t="str">
        <f>"880781190"</f>
        <v>880781190</v>
      </c>
      <c r="B6824" t="str">
        <f>"EHPAD RESIDENCE LE CLOS DES ECUREUILS"</f>
        <v>EHPAD RESIDENCE LE CLOS DES ECUREUILS</v>
      </c>
      <c r="C6824" t="s">
        <v>62</v>
      </c>
    </row>
    <row r="6825" spans="1:3" x14ac:dyDescent="0.25">
      <c r="A6825" t="str">
        <f>"880781208"</f>
        <v>880781208</v>
      </c>
      <c r="B6825" t="str">
        <f>"RESIDENCE LES SAULES"</f>
        <v>RESIDENCE LES SAULES</v>
      </c>
      <c r="C6825" t="s">
        <v>62</v>
      </c>
    </row>
    <row r="6826" spans="1:3" x14ac:dyDescent="0.25">
      <c r="A6826" t="str">
        <f>"880781216"</f>
        <v>880781216</v>
      </c>
      <c r="B6826" t="str">
        <f>"EHPAD RESIDENCE LE VAL DE JOYE"</f>
        <v>EHPAD RESIDENCE LE VAL DE JOYE</v>
      </c>
      <c r="C6826" t="s">
        <v>62</v>
      </c>
    </row>
    <row r="6827" spans="1:3" x14ac:dyDescent="0.25">
      <c r="A6827" t="str">
        <f>"880782016"</f>
        <v>880782016</v>
      </c>
      <c r="B6827" t="str">
        <f>"MAISON DE RETRAITE SAINT-JOSEPH"</f>
        <v>MAISON DE RETRAITE SAINT-JOSEPH</v>
      </c>
      <c r="C6827" t="s">
        <v>62</v>
      </c>
    </row>
    <row r="6828" spans="1:3" x14ac:dyDescent="0.25">
      <c r="A6828" t="str">
        <f>"880783063"</f>
        <v>880783063</v>
      </c>
      <c r="B6828" t="str">
        <f>"CHI HMV - EHPAD FOUCHARUPT"</f>
        <v>CHI HMV - EHPAD FOUCHARUPT</v>
      </c>
      <c r="C6828" t="s">
        <v>62</v>
      </c>
    </row>
    <row r="6829" spans="1:3" x14ac:dyDescent="0.25">
      <c r="A6829" t="str">
        <f>"880783139"</f>
        <v>880783139</v>
      </c>
      <c r="B6829" t="str">
        <f>"EHPAD 'LE PETIT BAN'"</f>
        <v>EHPAD 'LE PETIT BAN'</v>
      </c>
      <c r="C6829" t="s">
        <v>62</v>
      </c>
    </row>
    <row r="6830" spans="1:3" x14ac:dyDescent="0.25">
      <c r="A6830" t="str">
        <f>"880783204"</f>
        <v>880783204</v>
      </c>
      <c r="B6830" t="str">
        <f>"EHPAD ' SENTIERS D'AUTOMNE '"</f>
        <v>EHPAD ' SENTIERS D'AUTOMNE '</v>
      </c>
      <c r="C6830" t="s">
        <v>62</v>
      </c>
    </row>
    <row r="6831" spans="1:3" x14ac:dyDescent="0.25">
      <c r="A6831" t="str">
        <f>"880783246"</f>
        <v>880783246</v>
      </c>
      <c r="B6831" t="str">
        <f>"EHPAD DU VAL DE MEUSE"</f>
        <v>EHPAD DU VAL DE MEUSE</v>
      </c>
      <c r="C6831" t="s">
        <v>62</v>
      </c>
    </row>
    <row r="6832" spans="1:3" x14ac:dyDescent="0.25">
      <c r="A6832" t="str">
        <f>"880783360"</f>
        <v>880783360</v>
      </c>
      <c r="B6832" t="str">
        <f>"MAISON RETRAITE SAINT JEAN"</f>
        <v>MAISON RETRAITE SAINT JEAN</v>
      </c>
      <c r="C6832" t="s">
        <v>62</v>
      </c>
    </row>
    <row r="6833" spans="1:3" x14ac:dyDescent="0.25">
      <c r="A6833" t="str">
        <f>"880783386"</f>
        <v>880783386</v>
      </c>
      <c r="B6833" t="str">
        <f>"MAISON DE RETRAITE 'LE SOLEM'"</f>
        <v>MAISON DE RETRAITE 'LE SOLEM'</v>
      </c>
      <c r="C6833" t="s">
        <v>62</v>
      </c>
    </row>
    <row r="6834" spans="1:3" x14ac:dyDescent="0.25">
      <c r="A6834" t="str">
        <f>"880783402"</f>
        <v>880783402</v>
      </c>
      <c r="B6834" t="str">
        <f>"EPHAD 'LE CHÂTELET'"</f>
        <v>EPHAD 'LE CHÂTELET'</v>
      </c>
      <c r="C6834" t="s">
        <v>62</v>
      </c>
    </row>
    <row r="6835" spans="1:3" x14ac:dyDescent="0.25">
      <c r="A6835" t="str">
        <f>"880783428"</f>
        <v>880783428</v>
      </c>
      <c r="B6835" t="str">
        <f>"MAISON DE RETRAITE 'LA CLAIRIE'"</f>
        <v>MAISON DE RETRAITE 'LA CLAIRIE'</v>
      </c>
      <c r="C6835" t="s">
        <v>62</v>
      </c>
    </row>
    <row r="6836" spans="1:3" x14ac:dyDescent="0.25">
      <c r="A6836" t="str">
        <f>"880783444"</f>
        <v>880783444</v>
      </c>
      <c r="B6836" t="str">
        <f>"MAISON RETRAITE JEAN MARTIN MOYE"</f>
        <v>MAISON RETRAITE JEAN MARTIN MOYE</v>
      </c>
      <c r="C6836" t="s">
        <v>62</v>
      </c>
    </row>
    <row r="6837" spans="1:3" x14ac:dyDescent="0.25">
      <c r="A6837" t="str">
        <f>"880783451"</f>
        <v>880783451</v>
      </c>
      <c r="B6837" t="str">
        <f>"EHPAD SAINT DEODAT"</f>
        <v>EHPAD SAINT DEODAT</v>
      </c>
      <c r="C6837" t="s">
        <v>62</v>
      </c>
    </row>
    <row r="6838" spans="1:3" x14ac:dyDescent="0.25">
      <c r="A6838" t="str">
        <f>"880783543"</f>
        <v>880783543</v>
      </c>
      <c r="B6838" t="str">
        <f>"MAISON DE RETRAITE  'L'ACCUEIL'"</f>
        <v>MAISON DE RETRAITE  'L'ACCUEIL'</v>
      </c>
      <c r="C6838" t="s">
        <v>62</v>
      </c>
    </row>
    <row r="6839" spans="1:3" x14ac:dyDescent="0.25">
      <c r="A6839" t="str">
        <f>"880783584"</f>
        <v>880783584</v>
      </c>
      <c r="B6839" t="str">
        <f>"CHI HMV - EHPAD LES CHARMES"</f>
        <v>CHI HMV - EHPAD LES CHARMES</v>
      </c>
      <c r="C6839" t="s">
        <v>62</v>
      </c>
    </row>
    <row r="6840" spans="1:3" x14ac:dyDescent="0.25">
      <c r="A6840" t="str">
        <f>"880783592"</f>
        <v>880783592</v>
      </c>
      <c r="B6840" t="str">
        <f>"MAISON DE RETRAITE LE HOME FLEURI"</f>
        <v>MAISON DE RETRAITE LE HOME FLEURI</v>
      </c>
      <c r="C6840" t="s">
        <v>62</v>
      </c>
    </row>
    <row r="6841" spans="1:3" x14ac:dyDescent="0.25">
      <c r="A6841" t="str">
        <f>"880783634"</f>
        <v>880783634</v>
      </c>
      <c r="B6841" t="str">
        <f>"EHPAD ANNE ET JEAN-MARIE COMPAS"</f>
        <v>EHPAD ANNE ET JEAN-MARIE COMPAS</v>
      </c>
      <c r="C6841" t="s">
        <v>62</v>
      </c>
    </row>
    <row r="6842" spans="1:3" x14ac:dyDescent="0.25">
      <c r="A6842" t="str">
        <f>"880783667"</f>
        <v>880783667</v>
      </c>
      <c r="B6842" t="str">
        <f>"LE HOME DU CAMEROUN"</f>
        <v>LE HOME DU CAMEROUN</v>
      </c>
      <c r="C6842" t="s">
        <v>62</v>
      </c>
    </row>
    <row r="6843" spans="1:3" x14ac:dyDescent="0.25">
      <c r="A6843" t="str">
        <f>"880784418"</f>
        <v>880784418</v>
      </c>
      <c r="B6843" t="str">
        <f>"MAISON RETRAITE LE CEDRE BLEU"</f>
        <v>MAISON RETRAITE LE CEDRE BLEU</v>
      </c>
      <c r="C6843" t="s">
        <v>62</v>
      </c>
    </row>
    <row r="6844" spans="1:3" x14ac:dyDescent="0.25">
      <c r="A6844" t="str">
        <f>"880785530"</f>
        <v>880785530</v>
      </c>
      <c r="B6844" t="str">
        <f>"MAISON RETRAITE HOPITAL BUSSANG"</f>
        <v>MAISON RETRAITE HOPITAL BUSSANG</v>
      </c>
      <c r="C6844" t="s">
        <v>62</v>
      </c>
    </row>
    <row r="6845" spans="1:3" x14ac:dyDescent="0.25">
      <c r="A6845" t="str">
        <f>"880785563"</f>
        <v>880785563</v>
      </c>
      <c r="B6845" t="str">
        <f>"EHPAD DU CHI E. DURKHEIM - SITE GOLBEY"</f>
        <v>EHPAD DU CHI E. DURKHEIM - SITE GOLBEY</v>
      </c>
      <c r="C6845" t="s">
        <v>62</v>
      </c>
    </row>
    <row r="6846" spans="1:3" x14ac:dyDescent="0.25">
      <c r="A6846" t="str">
        <f>"880786314"</f>
        <v>880786314</v>
      </c>
      <c r="B6846" t="str">
        <f>"MAISON DE RETRAITE HOP. LOCAL"</f>
        <v>MAISON DE RETRAITE HOP. LOCAL</v>
      </c>
      <c r="C6846" t="s">
        <v>62</v>
      </c>
    </row>
    <row r="6847" spans="1:3" x14ac:dyDescent="0.25">
      <c r="A6847" t="str">
        <f>"880786322"</f>
        <v>880786322</v>
      </c>
      <c r="B6847" t="str">
        <f>"RESIDENCE LE COUAROGE"</f>
        <v>RESIDENCE LE COUAROGE</v>
      </c>
      <c r="C6847" t="s">
        <v>62</v>
      </c>
    </row>
    <row r="6848" spans="1:3" x14ac:dyDescent="0.25">
      <c r="A6848" t="str">
        <f>"880786330"</f>
        <v>880786330</v>
      </c>
      <c r="B6848" t="str">
        <f>"EHPAD ANDRE BARBIER"</f>
        <v>EHPAD ANDRE BARBIER</v>
      </c>
      <c r="C6848" t="s">
        <v>62</v>
      </c>
    </row>
    <row r="6849" spans="1:3" x14ac:dyDescent="0.25">
      <c r="A6849" t="str">
        <f>"880786355"</f>
        <v>880786355</v>
      </c>
      <c r="B6849" t="str">
        <f>"CHI HMV - EHPAD FRAIZE"</f>
        <v>CHI HMV - EHPAD FRAIZE</v>
      </c>
      <c r="C6849" t="s">
        <v>62</v>
      </c>
    </row>
    <row r="6850" spans="1:3" x14ac:dyDescent="0.25">
      <c r="A6850" t="str">
        <f>"880786363"</f>
        <v>880786363</v>
      </c>
      <c r="B6850" t="str">
        <f>"MAISON RETRAITE HOPITAL LOCAL LAMARCHE"</f>
        <v>MAISON RETRAITE HOPITAL LOCAL LAMARCHE</v>
      </c>
      <c r="C6850" t="s">
        <v>62</v>
      </c>
    </row>
    <row r="6851" spans="1:3" x14ac:dyDescent="0.25">
      <c r="A6851" t="str">
        <f>"880786371"</f>
        <v>880786371</v>
      </c>
      <c r="B6851" t="str">
        <f>"MAISON RETRAITE VAL DU MADON MIRECOURT"</f>
        <v>MAISON RETRAITE VAL DU MADON MIRECOURT</v>
      </c>
      <c r="C6851" t="s">
        <v>62</v>
      </c>
    </row>
    <row r="6852" spans="1:3" x14ac:dyDescent="0.25">
      <c r="A6852" t="str">
        <f>"880786389"</f>
        <v>880786389</v>
      </c>
      <c r="B6852" t="str">
        <f>"EHPAD  'LES GRÈS FLAMMÉS'"</f>
        <v>EHPAD  'LES GRÈS FLAMMÉS'</v>
      </c>
      <c r="C6852" t="s">
        <v>62</v>
      </c>
    </row>
    <row r="6853" spans="1:3" x14ac:dyDescent="0.25">
      <c r="A6853" t="str">
        <f>"880786413"</f>
        <v>880786413</v>
      </c>
      <c r="B6853" t="str">
        <f>"MAISON RETRAITE HOPITAL DU THILLOT"</f>
        <v>MAISON RETRAITE HOPITAL DU THILLOT</v>
      </c>
      <c r="C6853" t="s">
        <v>62</v>
      </c>
    </row>
    <row r="6854" spans="1:3" x14ac:dyDescent="0.25">
      <c r="A6854" t="str">
        <f>"880786421"</f>
        <v>880786421</v>
      </c>
      <c r="B6854" t="str">
        <f>"MAISON RETR. VAL DU MADON MATTAINCOURT"</f>
        <v>MAISON RETR. VAL DU MADON MATTAINCOURT</v>
      </c>
      <c r="C6854" t="s">
        <v>62</v>
      </c>
    </row>
    <row r="6855" spans="1:3" x14ac:dyDescent="0.25">
      <c r="A6855" t="str">
        <f>"880786447"</f>
        <v>880786447</v>
      </c>
      <c r="B6855" t="str">
        <f>"EHPAD 'LÉON WERTH'"</f>
        <v>EHPAD 'LÉON WERTH'</v>
      </c>
      <c r="C6855" t="s">
        <v>62</v>
      </c>
    </row>
    <row r="6856" spans="1:3" x14ac:dyDescent="0.25">
      <c r="A6856" t="str">
        <f>"880786462"</f>
        <v>880786462</v>
      </c>
      <c r="B6856" t="str">
        <f>"RESIDENCE ANTOINE"</f>
        <v>RESIDENCE ANTOINE</v>
      </c>
      <c r="C6856" t="s">
        <v>62</v>
      </c>
    </row>
    <row r="6857" spans="1:3" x14ac:dyDescent="0.25">
      <c r="A6857" t="str">
        <f>"880788088"</f>
        <v>880788088</v>
      </c>
      <c r="B6857" t="str">
        <f>"RESIDENCE LE PONT DU GUE"</f>
        <v>RESIDENCE LE PONT DU GUE</v>
      </c>
      <c r="C6857" t="s">
        <v>62</v>
      </c>
    </row>
    <row r="6858" spans="1:3" x14ac:dyDescent="0.25">
      <c r="A6858" t="str">
        <f>"880788807"</f>
        <v>880788807</v>
      </c>
      <c r="B6858" t="str">
        <f>"EHPAD DU 'PRE FAVET'"</f>
        <v>EHPAD DU 'PRE FAVET'</v>
      </c>
      <c r="C6858" t="s">
        <v>62</v>
      </c>
    </row>
    <row r="6859" spans="1:3" x14ac:dyDescent="0.25">
      <c r="A6859" t="str">
        <f>"880788823"</f>
        <v>880788823</v>
      </c>
      <c r="B6859" t="str">
        <f>"EHPAD HOPITAL BRUYERES"</f>
        <v>EHPAD HOPITAL BRUYERES</v>
      </c>
      <c r="C6859" t="s">
        <v>62</v>
      </c>
    </row>
    <row r="6860" spans="1:3" x14ac:dyDescent="0.25">
      <c r="A6860" t="str">
        <f>"880788849"</f>
        <v>880788849</v>
      </c>
      <c r="B6860" t="str">
        <f>"EHPAD RESIDENCE DE LAUFROMONT"</f>
        <v>EHPAD RESIDENCE DE LAUFROMONT</v>
      </c>
      <c r="C6860" t="s">
        <v>62</v>
      </c>
    </row>
    <row r="6861" spans="1:3" x14ac:dyDescent="0.25">
      <c r="A6861" t="str">
        <f>"880789185"</f>
        <v>880789185</v>
      </c>
      <c r="B6861" t="str">
        <f>"MAISON DE RETRAITE SAINT JEAN"</f>
        <v>MAISON DE RETRAITE SAINT JEAN</v>
      </c>
      <c r="C6861" t="s">
        <v>62</v>
      </c>
    </row>
    <row r="6862" spans="1:3" x14ac:dyDescent="0.25">
      <c r="A6862" t="str">
        <f>"880789276"</f>
        <v>880789276</v>
      </c>
      <c r="B6862" t="str">
        <f>"RESID. PERS. AGEES  L'AGE D'OR"</f>
        <v>RESID. PERS. AGEES  L'AGE D'OR</v>
      </c>
      <c r="C6862" t="s">
        <v>62</v>
      </c>
    </row>
    <row r="6863" spans="1:3" x14ac:dyDescent="0.25">
      <c r="A6863" t="str">
        <f>"890000110"</f>
        <v>890000110</v>
      </c>
      <c r="B6863" t="str">
        <f>"EHPAD CHATEAU DE NANTOU"</f>
        <v>EHPAD CHATEAU DE NANTOU</v>
      </c>
      <c r="C6863" t="s">
        <v>64</v>
      </c>
    </row>
    <row r="6864" spans="1:3" x14ac:dyDescent="0.25">
      <c r="A6864" t="str">
        <f>"890000276"</f>
        <v>890000276</v>
      </c>
      <c r="B6864" t="str">
        <f>"RESIDENCE ADELIE"</f>
        <v>RESIDENCE ADELIE</v>
      </c>
      <c r="C6864" t="s">
        <v>64</v>
      </c>
    </row>
    <row r="6865" spans="1:3" x14ac:dyDescent="0.25">
      <c r="A6865" t="str">
        <f>"890000284"</f>
        <v>890000284</v>
      </c>
      <c r="B6865" t="str">
        <f>"EHPAD LE VILLAGE"</f>
        <v>EHPAD LE VILLAGE</v>
      </c>
      <c r="C6865" t="s">
        <v>64</v>
      </c>
    </row>
    <row r="6866" spans="1:3" x14ac:dyDescent="0.25">
      <c r="A6866" t="str">
        <f>"890000425"</f>
        <v>890000425</v>
      </c>
      <c r="B6866" t="str">
        <f>"EHPAD CH SENS BATIMENT ST JEAN"</f>
        <v>EHPAD CH SENS BATIMENT ST JEAN</v>
      </c>
      <c r="C6866" t="s">
        <v>64</v>
      </c>
    </row>
    <row r="6867" spans="1:3" x14ac:dyDescent="0.25">
      <c r="A6867" t="str">
        <f>"890000482"</f>
        <v>890000482</v>
      </c>
      <c r="B6867" t="str">
        <f>"EHPAD AUXERRE LES CLAIRIONS"</f>
        <v>EHPAD AUXERRE LES CLAIRIONS</v>
      </c>
      <c r="C6867" t="s">
        <v>64</v>
      </c>
    </row>
    <row r="6868" spans="1:3" x14ac:dyDescent="0.25">
      <c r="A6868" t="str">
        <f>"890000490"</f>
        <v>890000490</v>
      </c>
      <c r="B6868" t="str">
        <f>"EHPAD THIZY"</f>
        <v>EHPAD THIZY</v>
      </c>
      <c r="C6868" t="s">
        <v>64</v>
      </c>
    </row>
    <row r="6869" spans="1:3" x14ac:dyDescent="0.25">
      <c r="A6869" t="str">
        <f>"890002090"</f>
        <v>890002090</v>
      </c>
      <c r="B6869" t="str">
        <f>"EHPAD LES HORTENSIAS"</f>
        <v>EHPAD LES HORTENSIAS</v>
      </c>
      <c r="C6869" t="s">
        <v>64</v>
      </c>
    </row>
    <row r="6870" spans="1:3" x14ac:dyDescent="0.25">
      <c r="A6870" t="str">
        <f>"890002124"</f>
        <v>890002124</v>
      </c>
      <c r="B6870" t="str">
        <f>"EHPAD CHATEAU DE BOURON"</f>
        <v>EHPAD CHATEAU DE BOURON</v>
      </c>
      <c r="C6870" t="s">
        <v>64</v>
      </c>
    </row>
    <row r="6871" spans="1:3" x14ac:dyDescent="0.25">
      <c r="A6871" t="str">
        <f>"890002132"</f>
        <v>890002132</v>
      </c>
      <c r="B6871" t="str">
        <f>"EHPAD COULANGES S/YONNE STE CLOTILDE"</f>
        <v>EHPAD COULANGES S/YONNE STE CLOTILDE</v>
      </c>
      <c r="C6871" t="s">
        <v>64</v>
      </c>
    </row>
    <row r="6872" spans="1:3" x14ac:dyDescent="0.25">
      <c r="A6872" t="str">
        <f>"890002140"</f>
        <v>890002140</v>
      </c>
      <c r="B6872" t="str">
        <f>"EHPAD COURSON LES CARRIERES"</f>
        <v>EHPAD COURSON LES CARRIERES</v>
      </c>
      <c r="C6872" t="s">
        <v>64</v>
      </c>
    </row>
    <row r="6873" spans="1:3" x14ac:dyDescent="0.25">
      <c r="A6873" t="str">
        <f>"890002157"</f>
        <v>890002157</v>
      </c>
      <c r="B6873" t="str">
        <f>"EHPAD L ISLE SUR SEREIN"</f>
        <v>EHPAD L ISLE SUR SEREIN</v>
      </c>
      <c r="C6873" t="s">
        <v>64</v>
      </c>
    </row>
    <row r="6874" spans="1:3" x14ac:dyDescent="0.25">
      <c r="A6874" t="str">
        <f>"890002165"</f>
        <v>890002165</v>
      </c>
      <c r="B6874" t="str">
        <f>"EHPAD NOYERS SUR SEREIN"</f>
        <v>EHPAD NOYERS SUR SEREIN</v>
      </c>
      <c r="C6874" t="s">
        <v>64</v>
      </c>
    </row>
    <row r="6875" spans="1:3" x14ac:dyDescent="0.25">
      <c r="A6875" t="str">
        <f>"890002173"</f>
        <v>890002173</v>
      </c>
      <c r="B6875" t="str">
        <f>"EHPAD DE PONT SUR YONNE ET VILLEBLEVIN"</f>
        <v>EHPAD DE PONT SUR YONNE ET VILLEBLEVIN</v>
      </c>
      <c r="C6875" t="s">
        <v>64</v>
      </c>
    </row>
    <row r="6876" spans="1:3" x14ac:dyDescent="0.25">
      <c r="A6876" t="str">
        <f>"890002181"</f>
        <v>890002181</v>
      </c>
      <c r="B6876" t="str">
        <f>"EHPAD RAVIERES CAMILLE RIZIER"</f>
        <v>EHPAD RAVIERES CAMILLE RIZIER</v>
      </c>
      <c r="C6876" t="s">
        <v>64</v>
      </c>
    </row>
    <row r="6877" spans="1:3" x14ac:dyDescent="0.25">
      <c r="A6877" t="str">
        <f>"890002199"</f>
        <v>890002199</v>
      </c>
      <c r="B6877" t="str">
        <f>"EHPAD RESIDENCE DU MOULIN DE L ARCHE"</f>
        <v>EHPAD RESIDENCE DU MOULIN DE L ARCHE</v>
      </c>
      <c r="C6877" t="s">
        <v>64</v>
      </c>
    </row>
    <row r="6878" spans="1:3" x14ac:dyDescent="0.25">
      <c r="A6878" t="str">
        <f>"890002215"</f>
        <v>890002215</v>
      </c>
      <c r="B6878" t="str">
        <f>"EHPAD TOUCY DE LA CROIX DES VIGNES"</f>
        <v>EHPAD TOUCY DE LA CROIX DES VIGNES</v>
      </c>
      <c r="C6878" t="s">
        <v>64</v>
      </c>
    </row>
    <row r="6879" spans="1:3" x14ac:dyDescent="0.25">
      <c r="A6879" t="str">
        <f>"890002223"</f>
        <v>890002223</v>
      </c>
      <c r="B6879" t="str">
        <f>"EHPAD RESIDENCE FRANCOIS COLLET"</f>
        <v>EHPAD RESIDENCE FRANCOIS COLLET</v>
      </c>
      <c r="C6879" t="s">
        <v>64</v>
      </c>
    </row>
    <row r="6880" spans="1:3" x14ac:dyDescent="0.25">
      <c r="A6880" t="str">
        <f>"890002249"</f>
        <v>890002249</v>
      </c>
      <c r="B6880" t="str">
        <f>"EHPAD DE PONT SUR YONNE ET VILLEBLIN"</f>
        <v>EHPAD DE PONT SUR YONNE ET VILLEBLIN</v>
      </c>
      <c r="C6880" t="s">
        <v>64</v>
      </c>
    </row>
    <row r="6881" spans="1:3" x14ac:dyDescent="0.25">
      <c r="A6881" t="str">
        <f>"890002256"</f>
        <v>890002256</v>
      </c>
      <c r="B6881" t="str">
        <f>"EHPAD DE CHARNY"</f>
        <v>EHPAD DE CHARNY</v>
      </c>
      <c r="C6881" t="s">
        <v>64</v>
      </c>
    </row>
    <row r="6882" spans="1:3" x14ac:dyDescent="0.25">
      <c r="A6882" t="str">
        <f>"890002272"</f>
        <v>890002272</v>
      </c>
      <c r="B6882" t="str">
        <f>"EHPAD ST JULIEN DU SAULT"</f>
        <v>EHPAD ST JULIEN DU SAULT</v>
      </c>
      <c r="C6882" t="s">
        <v>64</v>
      </c>
    </row>
    <row r="6883" spans="1:3" x14ac:dyDescent="0.25">
      <c r="A6883" t="str">
        <f>"890002330"</f>
        <v>890002330</v>
      </c>
      <c r="B6883" t="str">
        <f>"EHPAD LES MIGNOTTES"</f>
        <v>EHPAD LES MIGNOTTES</v>
      </c>
      <c r="C6883" t="s">
        <v>64</v>
      </c>
    </row>
    <row r="6884" spans="1:3" x14ac:dyDescent="0.25">
      <c r="A6884" t="str">
        <f>"890002421"</f>
        <v>890002421</v>
      </c>
      <c r="B6884" t="str">
        <f>"EHPAD SAINT SAUVEUR EN PUISAYE"</f>
        <v>EHPAD SAINT SAUVEUR EN PUISAYE</v>
      </c>
      <c r="C6884" t="s">
        <v>64</v>
      </c>
    </row>
    <row r="6885" spans="1:3" x14ac:dyDescent="0.25">
      <c r="A6885" t="str">
        <f>"890002447"</f>
        <v>890002447</v>
      </c>
      <c r="B6885" t="str">
        <f>"EHPAD RESIDENCE DES COTEAUX"</f>
        <v>EHPAD RESIDENCE DES COTEAUX</v>
      </c>
      <c r="C6885" t="s">
        <v>64</v>
      </c>
    </row>
    <row r="6886" spans="1:3" x14ac:dyDescent="0.25">
      <c r="A6886" t="str">
        <f>"890002637"</f>
        <v>890002637</v>
      </c>
      <c r="B6886" t="str">
        <f>"EHPAD LA MORLANDE"</f>
        <v>EHPAD LA MORLANDE</v>
      </c>
      <c r="C6886" t="s">
        <v>64</v>
      </c>
    </row>
    <row r="6887" spans="1:3" x14ac:dyDescent="0.25">
      <c r="A6887" t="str">
        <f>"890002645"</f>
        <v>890002645</v>
      </c>
      <c r="B6887" t="str">
        <f>"EHPAD DU CH DE JOIGNY"</f>
        <v>EHPAD DU CH DE JOIGNY</v>
      </c>
      <c r="C6887" t="s">
        <v>64</v>
      </c>
    </row>
    <row r="6888" spans="1:3" x14ac:dyDescent="0.25">
      <c r="A6888" t="str">
        <f>"890002652"</f>
        <v>890002652</v>
      </c>
      <c r="B6888" t="str">
        <f>"EHPAD RESIDENCE D'AUTOMNE"</f>
        <v>EHPAD RESIDENCE D'AUTOMNE</v>
      </c>
      <c r="C6888" t="s">
        <v>64</v>
      </c>
    </row>
    <row r="6889" spans="1:3" x14ac:dyDescent="0.25">
      <c r="A6889" t="str">
        <f>"890002660"</f>
        <v>890002660</v>
      </c>
      <c r="B6889" t="str">
        <f>"EHPAD LA CHATONNIERE"</f>
        <v>EHPAD LA CHATONNIERE</v>
      </c>
      <c r="C6889" t="s">
        <v>64</v>
      </c>
    </row>
    <row r="6890" spans="1:3" x14ac:dyDescent="0.25">
      <c r="A6890" t="str">
        <f>"890002678"</f>
        <v>890002678</v>
      </c>
      <c r="B6890" t="str">
        <f>"EHPAD ABBE CHARRON CHEROY"</f>
        <v>EHPAD ABBE CHARRON CHEROY</v>
      </c>
      <c r="C6890" t="s">
        <v>64</v>
      </c>
    </row>
    <row r="6891" spans="1:3" x14ac:dyDescent="0.25">
      <c r="A6891" t="str">
        <f>"890002686"</f>
        <v>890002686</v>
      </c>
      <c r="B6891" t="str">
        <f>"EHPAD MAURICE VILLATTE"</f>
        <v>EHPAD MAURICE VILLATTE</v>
      </c>
      <c r="C6891" t="s">
        <v>64</v>
      </c>
    </row>
    <row r="6892" spans="1:3" x14ac:dyDescent="0.25">
      <c r="A6892" t="str">
        <f>"890002694"</f>
        <v>890002694</v>
      </c>
      <c r="B6892" t="str">
        <f>"RÉSIDENCE SAINT FRANCOIS"</f>
        <v>RÉSIDENCE SAINT FRANCOIS</v>
      </c>
      <c r="C6892" t="s">
        <v>64</v>
      </c>
    </row>
    <row r="6893" spans="1:3" x14ac:dyDescent="0.25">
      <c r="A6893" t="str">
        <f>"890002702"</f>
        <v>890002702</v>
      </c>
      <c r="B6893" t="str">
        <f>"EHPAD LIGNY LE CHATEL"</f>
        <v>EHPAD LIGNY LE CHATEL</v>
      </c>
      <c r="C6893" t="s">
        <v>64</v>
      </c>
    </row>
    <row r="6894" spans="1:3" x14ac:dyDescent="0.25">
      <c r="A6894" t="str">
        <f>"890002728"</f>
        <v>890002728</v>
      </c>
      <c r="B6894" t="str">
        <f>"EHPAD  RESIDENCE VERMIGLIO"</f>
        <v>EHPAD  RESIDENCE VERMIGLIO</v>
      </c>
      <c r="C6894" t="s">
        <v>64</v>
      </c>
    </row>
    <row r="6895" spans="1:3" x14ac:dyDescent="0.25">
      <c r="A6895" t="str">
        <f>"890002751"</f>
        <v>890002751</v>
      </c>
      <c r="B6895" t="str">
        <f>"EHPAD TANLAY"</f>
        <v>EHPAD TANLAY</v>
      </c>
      <c r="C6895" t="s">
        <v>64</v>
      </c>
    </row>
    <row r="6896" spans="1:3" x14ac:dyDescent="0.25">
      <c r="A6896" t="str">
        <f>"890004229"</f>
        <v>890004229</v>
      </c>
      <c r="B6896" t="str">
        <f>"EHPAD MEMOIRES DE BOURGOGNE"</f>
        <v>EHPAD MEMOIRES DE BOURGOGNE</v>
      </c>
      <c r="C6896" t="s">
        <v>64</v>
      </c>
    </row>
    <row r="6897" spans="1:3" x14ac:dyDescent="0.25">
      <c r="A6897" t="str">
        <f>"890005358"</f>
        <v>890005358</v>
      </c>
      <c r="B6897" t="str">
        <f>"EHPAD ARCES DILO"</f>
        <v>EHPAD ARCES DILO</v>
      </c>
      <c r="C6897" t="s">
        <v>64</v>
      </c>
    </row>
    <row r="6898" spans="1:3" x14ac:dyDescent="0.25">
      <c r="A6898" t="str">
        <f>"890005879"</f>
        <v>890005879</v>
      </c>
      <c r="B6898" t="str">
        <f>"EHPAD LES RIVES DE L'YONNE"</f>
        <v>EHPAD LES RIVES DE L'YONNE</v>
      </c>
      <c r="C6898" t="s">
        <v>64</v>
      </c>
    </row>
    <row r="6899" spans="1:3" x14ac:dyDescent="0.25">
      <c r="A6899" t="str">
        <f>"890007768"</f>
        <v>890007768</v>
      </c>
      <c r="B6899" t="str">
        <f>"EHPAD LE SAULE"</f>
        <v>EHPAD LE SAULE</v>
      </c>
      <c r="C6899" t="s">
        <v>64</v>
      </c>
    </row>
    <row r="6900" spans="1:3" x14ac:dyDescent="0.25">
      <c r="A6900" t="str">
        <f>"890007883"</f>
        <v>890007883</v>
      </c>
      <c r="B6900" t="str">
        <f>"EHPAD RESIDENCE COLBERT"</f>
        <v>EHPAD RESIDENCE COLBERT</v>
      </c>
      <c r="C6900" t="s">
        <v>64</v>
      </c>
    </row>
    <row r="6901" spans="1:3" x14ac:dyDescent="0.25">
      <c r="A6901" t="str">
        <f>"890009129"</f>
        <v>890009129</v>
      </c>
      <c r="B6901" t="str">
        <f>"EHPAD VAL DE MERCY"</f>
        <v>EHPAD VAL DE MERCY</v>
      </c>
      <c r="C6901" t="s">
        <v>64</v>
      </c>
    </row>
    <row r="6902" spans="1:3" x14ac:dyDescent="0.25">
      <c r="A6902" t="str">
        <f>"890970023"</f>
        <v>890970023</v>
      </c>
      <c r="B6902" t="str">
        <f>"EHPAD HAMEAU LA LOUPIERE"</f>
        <v>EHPAD HAMEAU LA LOUPIERE</v>
      </c>
      <c r="C6902" t="s">
        <v>64</v>
      </c>
    </row>
    <row r="6903" spans="1:3" x14ac:dyDescent="0.25">
      <c r="A6903" t="str">
        <f>"890970031"</f>
        <v>890970031</v>
      </c>
      <c r="B6903" t="str">
        <f>"EHPAD JOIGNY PRIEUR"</f>
        <v>EHPAD JOIGNY PRIEUR</v>
      </c>
      <c r="C6903" t="s">
        <v>64</v>
      </c>
    </row>
    <row r="6904" spans="1:3" x14ac:dyDescent="0.25">
      <c r="A6904" t="str">
        <f>"890970064"</f>
        <v>890970064</v>
      </c>
      <c r="B6904" t="str">
        <f>"EHPAD RESIDENCE SAINT CHARLES"</f>
        <v>EHPAD RESIDENCE SAINT CHARLES</v>
      </c>
      <c r="C6904" t="s">
        <v>64</v>
      </c>
    </row>
    <row r="6905" spans="1:3" x14ac:dyDescent="0.25">
      <c r="A6905" t="str">
        <f>"890970270"</f>
        <v>890970270</v>
      </c>
      <c r="B6905" t="str">
        <f>"EHPAD FOYER DE LA BRETAUCHE"</f>
        <v>EHPAD FOYER DE LA BRETAUCHE</v>
      </c>
      <c r="C6905" t="s">
        <v>64</v>
      </c>
    </row>
    <row r="6906" spans="1:3" x14ac:dyDescent="0.25">
      <c r="A6906" t="str">
        <f>"890970577"</f>
        <v>890970577</v>
      </c>
      <c r="B6906" t="str">
        <f>"EHPAD CH SENS RESIDENCE DE L ETOILE"</f>
        <v>EHPAD CH SENS RESIDENCE DE L ETOILE</v>
      </c>
      <c r="C6906" t="s">
        <v>64</v>
      </c>
    </row>
    <row r="6907" spans="1:3" x14ac:dyDescent="0.25">
      <c r="A6907" t="str">
        <f>"890971302"</f>
        <v>890971302</v>
      </c>
      <c r="B6907" t="str">
        <f>"EHPAD LE BOIS JOLI"</f>
        <v>EHPAD LE BOIS JOLI</v>
      </c>
      <c r="C6907" t="s">
        <v>64</v>
      </c>
    </row>
    <row r="6908" spans="1:3" x14ac:dyDescent="0.25">
      <c r="A6908" t="str">
        <f>"890971500"</f>
        <v>890971500</v>
      </c>
      <c r="B6908" t="str">
        <f>"EHPAD SMTI"</f>
        <v>EHPAD SMTI</v>
      </c>
      <c r="C6908" t="s">
        <v>64</v>
      </c>
    </row>
    <row r="6909" spans="1:3" x14ac:dyDescent="0.25">
      <c r="A6909" t="str">
        <f>"890971526"</f>
        <v>890971526</v>
      </c>
      <c r="B6909" t="str">
        <f>"EHPAD ST AGNAN RESIDENCE FLORE"</f>
        <v>EHPAD ST AGNAN RESIDENCE FLORE</v>
      </c>
      <c r="C6909" t="s">
        <v>64</v>
      </c>
    </row>
    <row r="6910" spans="1:3" x14ac:dyDescent="0.25">
      <c r="A6910" t="str">
        <f>"890971542"</f>
        <v>890971542</v>
      </c>
      <c r="B6910" t="str">
        <f>"EHPAD RESIDENCE LES FORGES"</f>
        <v>EHPAD RESIDENCE LES FORGES</v>
      </c>
      <c r="C6910" t="s">
        <v>64</v>
      </c>
    </row>
    <row r="6911" spans="1:3" x14ac:dyDescent="0.25">
      <c r="A6911" t="str">
        <f>"890971633"</f>
        <v>890971633</v>
      </c>
      <c r="B6911" t="str">
        <f>"EHPAD DU CH DE TONNERRE"</f>
        <v>EHPAD DU CH DE TONNERRE</v>
      </c>
      <c r="C6911" t="s">
        <v>64</v>
      </c>
    </row>
    <row r="6912" spans="1:3" x14ac:dyDescent="0.25">
      <c r="A6912" t="str">
        <f>"890971682"</f>
        <v>890971682</v>
      </c>
      <c r="B6912" t="str">
        <f>"EHPAD CARNOT"</f>
        <v>EHPAD CARNOT</v>
      </c>
      <c r="C6912" t="s">
        <v>64</v>
      </c>
    </row>
    <row r="6913" spans="1:3" x14ac:dyDescent="0.25">
      <c r="A6913" t="str">
        <f>"890972011"</f>
        <v>890972011</v>
      </c>
      <c r="B6913" t="str">
        <f>"EHPAD RESIDENCE LES FONTENOTTES"</f>
        <v>EHPAD RESIDENCE LES FONTENOTTES</v>
      </c>
      <c r="C6913" t="s">
        <v>64</v>
      </c>
    </row>
    <row r="6914" spans="1:3" x14ac:dyDescent="0.25">
      <c r="A6914" t="str">
        <f>"890972037"</f>
        <v>890972037</v>
      </c>
      <c r="B6914" t="str">
        <f>"EHPAD JOSEPHINE NORMAND"</f>
        <v>EHPAD JOSEPHINE NORMAND</v>
      </c>
      <c r="C6914" t="s">
        <v>64</v>
      </c>
    </row>
    <row r="6915" spans="1:3" x14ac:dyDescent="0.25">
      <c r="A6915" t="str">
        <f>"890972227"</f>
        <v>890972227</v>
      </c>
      <c r="B6915" t="str">
        <f>"EHPAD MR DEPARTEMENTALE AUXERRE"</f>
        <v>EHPAD MR DEPARTEMENTALE AUXERRE</v>
      </c>
      <c r="C6915" t="s">
        <v>64</v>
      </c>
    </row>
    <row r="6916" spans="1:3" x14ac:dyDescent="0.25">
      <c r="A6916" t="str">
        <f>"890972375"</f>
        <v>890972375</v>
      </c>
      <c r="B6916" t="str">
        <f>"RESIDENCE CLUB GREGOIRE DIREZ"</f>
        <v>RESIDENCE CLUB GREGOIRE DIREZ</v>
      </c>
      <c r="C6916" t="s">
        <v>64</v>
      </c>
    </row>
    <row r="6917" spans="1:3" x14ac:dyDescent="0.25">
      <c r="A6917" t="str">
        <f>"890972433"</f>
        <v>890972433</v>
      </c>
      <c r="B6917" t="str">
        <f>"EHPAD LES DORNETS"</f>
        <v>EHPAD LES DORNETS</v>
      </c>
      <c r="C6917" t="s">
        <v>64</v>
      </c>
    </row>
    <row r="6918" spans="1:3" x14ac:dyDescent="0.25">
      <c r="A6918" t="str">
        <f>"890972441"</f>
        <v>890972441</v>
      </c>
      <c r="B6918" t="str">
        <f>"EHPAD PLATANES VILLENEUVE LA GUYARD"</f>
        <v>EHPAD PLATANES VILLENEUVE LA GUYARD</v>
      </c>
      <c r="C6918" t="s">
        <v>64</v>
      </c>
    </row>
    <row r="6919" spans="1:3" x14ac:dyDescent="0.25">
      <c r="A6919" t="str">
        <f>"890972508"</f>
        <v>890972508</v>
      </c>
      <c r="B6919" t="str">
        <f>"EHPAD LA BELLE IDÉE"</f>
        <v>EHPAD LA BELLE IDÉE</v>
      </c>
      <c r="C6919" t="s">
        <v>64</v>
      </c>
    </row>
    <row r="6920" spans="1:3" x14ac:dyDescent="0.25">
      <c r="A6920" t="str">
        <f>"890972730"</f>
        <v>890972730</v>
      </c>
      <c r="B6920" t="str">
        <f>"EHPAD RESIDENCE LES DEUX JARDINS"</f>
        <v>EHPAD RESIDENCE LES DEUX JARDINS</v>
      </c>
      <c r="C6920" t="s">
        <v>64</v>
      </c>
    </row>
    <row r="6921" spans="1:3" x14ac:dyDescent="0.25">
      <c r="A6921" t="str">
        <f>"890972870"</f>
        <v>890972870</v>
      </c>
      <c r="B6921" t="str">
        <f>"EHPAD LE VILLAGE ST GEORGES/BAULCHE"</f>
        <v>EHPAD LE VILLAGE ST GEORGES/BAULCHE</v>
      </c>
      <c r="C6921" t="s">
        <v>64</v>
      </c>
    </row>
    <row r="6922" spans="1:3" x14ac:dyDescent="0.25">
      <c r="A6922" t="str">
        <f>"890972920"</f>
        <v>890972920</v>
      </c>
      <c r="B6922" t="str">
        <f>"EHPAD CH SENS CMLS"</f>
        <v>EHPAD CH SENS CMLS</v>
      </c>
      <c r="C6922" t="s">
        <v>64</v>
      </c>
    </row>
    <row r="6923" spans="1:3" x14ac:dyDescent="0.25">
      <c r="A6923" t="str">
        <f>"890973019"</f>
        <v>890973019</v>
      </c>
      <c r="B6923" t="str">
        <f>"EHPAD RESIDENCE LES CHAMPS BLANCS"</f>
        <v>EHPAD RESIDENCE LES CHAMPS BLANCS</v>
      </c>
      <c r="C6923" t="s">
        <v>64</v>
      </c>
    </row>
    <row r="6924" spans="1:3" x14ac:dyDescent="0.25">
      <c r="A6924" t="str">
        <f>"890973035"</f>
        <v>890973035</v>
      </c>
      <c r="B6924" t="str">
        <f>"EHPAD RESIDENCE LE CEDRE"</f>
        <v>EHPAD RESIDENCE LE CEDRE</v>
      </c>
      <c r="C6924" t="s">
        <v>64</v>
      </c>
    </row>
    <row r="6925" spans="1:3" x14ac:dyDescent="0.25">
      <c r="A6925" t="str">
        <f>"890973043"</f>
        <v>890973043</v>
      </c>
      <c r="B6925" t="str">
        <f>"EHPAD APPOIGNY LES JOLIS BOIS"</f>
        <v>EHPAD APPOIGNY LES JOLIS BOIS</v>
      </c>
      <c r="C6925" t="s">
        <v>64</v>
      </c>
    </row>
    <row r="6926" spans="1:3" x14ac:dyDescent="0.25">
      <c r="A6926" t="str">
        <f>"890973118"</f>
        <v>890973118</v>
      </c>
      <c r="B6926" t="str">
        <f>"EHPAD RESIDENCE BOIS LANCY"</f>
        <v>EHPAD RESIDENCE BOIS LANCY</v>
      </c>
      <c r="C6926" t="s">
        <v>64</v>
      </c>
    </row>
    <row r="6927" spans="1:3" x14ac:dyDescent="0.25">
      <c r="A6927" t="str">
        <f>"890973407"</f>
        <v>890973407</v>
      </c>
      <c r="B6927" t="str">
        <f>"EHPAD LE CLOS DES CHEVANNAIS"</f>
        <v>EHPAD LE CLOS DES CHEVANNAIS</v>
      </c>
      <c r="C6927" t="s">
        <v>64</v>
      </c>
    </row>
    <row r="6928" spans="1:3" x14ac:dyDescent="0.25">
      <c r="A6928" t="str">
        <f>"890974116"</f>
        <v>890974116</v>
      </c>
      <c r="B6928" t="str">
        <f>"EHPAD VILLA D AZON"</f>
        <v>EHPAD VILLA D AZON</v>
      </c>
      <c r="C6928" t="s">
        <v>64</v>
      </c>
    </row>
    <row r="6929" spans="1:3" x14ac:dyDescent="0.25">
      <c r="A6929" t="str">
        <f>"890974587"</f>
        <v>890974587</v>
      </c>
      <c r="B6929" t="str">
        <f>"EHPAD LES OPALINES"</f>
        <v>EHPAD LES OPALINES</v>
      </c>
      <c r="C6929" t="s">
        <v>64</v>
      </c>
    </row>
    <row r="6930" spans="1:3" x14ac:dyDescent="0.25">
      <c r="A6930" t="str">
        <f>"890974611"</f>
        <v>890974611</v>
      </c>
      <c r="B6930" t="str">
        <f>"EHPAD RESIDENCE LE CEDRE"</f>
        <v>EHPAD RESIDENCE LE CEDRE</v>
      </c>
      <c r="C6930" t="s">
        <v>64</v>
      </c>
    </row>
    <row r="6931" spans="1:3" x14ac:dyDescent="0.25">
      <c r="A6931" t="str">
        <f>"890974637"</f>
        <v>890974637</v>
      </c>
      <c r="B6931" t="str">
        <f>"EHPAD RESIDENCE DE LA PUISAYE"</f>
        <v>EHPAD RESIDENCE DE LA PUISAYE</v>
      </c>
      <c r="C6931" t="s">
        <v>64</v>
      </c>
    </row>
    <row r="6932" spans="1:3" x14ac:dyDescent="0.25">
      <c r="A6932" t="str">
        <f>"890974686"</f>
        <v>890974686</v>
      </c>
      <c r="B6932" t="str">
        <f>"EHPAD LE MANOIR DE LA POMMERAIE"</f>
        <v>EHPAD LE MANOIR DE LA POMMERAIE</v>
      </c>
      <c r="C6932" t="s">
        <v>64</v>
      </c>
    </row>
    <row r="6933" spans="1:3" x14ac:dyDescent="0.25">
      <c r="A6933" t="str">
        <f>"890975683"</f>
        <v>890975683</v>
      </c>
      <c r="B6933" t="str">
        <f>"EHPAD SENS NOTRE DAME DE LA PROVIDENCE"</f>
        <v>EHPAD SENS NOTRE DAME DE LA PROVIDENCE</v>
      </c>
      <c r="C6933" t="s">
        <v>64</v>
      </c>
    </row>
    <row r="6934" spans="1:3" x14ac:dyDescent="0.25">
      <c r="A6934" t="str">
        <f>"900000100"</f>
        <v>900000100</v>
      </c>
      <c r="B6934" t="str">
        <f>"EHPAD 'LES VERGERS'"</f>
        <v>EHPAD 'LES VERGERS'</v>
      </c>
      <c r="C6934" t="s">
        <v>64</v>
      </c>
    </row>
    <row r="6935" spans="1:3" x14ac:dyDescent="0.25">
      <c r="A6935" t="str">
        <f>"900002049"</f>
        <v>900002049</v>
      </c>
      <c r="B6935" t="str">
        <f>"EHPAD RESIDENCE ROSEMONTOISE VALDOIE"</f>
        <v>EHPAD RESIDENCE ROSEMONTOISE VALDOIE</v>
      </c>
      <c r="C6935" t="s">
        <v>64</v>
      </c>
    </row>
    <row r="6936" spans="1:3" x14ac:dyDescent="0.25">
      <c r="A6936" t="str">
        <f>"900002056"</f>
        <v>900002056</v>
      </c>
      <c r="B6936" t="str">
        <f>"EHPAD LE CHENOIS BAVILLIERS"</f>
        <v>EHPAD LE CHENOIS BAVILLIERS</v>
      </c>
      <c r="C6936" t="s">
        <v>64</v>
      </c>
    </row>
    <row r="6937" spans="1:3" x14ac:dyDescent="0.25">
      <c r="A6937" t="str">
        <f>"900002189"</f>
        <v>900002189</v>
      </c>
      <c r="B6937" t="str">
        <f>"EHPAD RESIDENCE DE LA MIOTTE"</f>
        <v>EHPAD RESIDENCE DE LA MIOTTE</v>
      </c>
      <c r="C6937" t="s">
        <v>64</v>
      </c>
    </row>
    <row r="6938" spans="1:3" x14ac:dyDescent="0.25">
      <c r="A6938" t="str">
        <f>"900002411"</f>
        <v>900002411</v>
      </c>
      <c r="B6938" t="str">
        <f>"EHPAD RESIDENCE PIERRE BONNEF BELFORT"</f>
        <v>EHPAD RESIDENCE PIERRE BONNEF BELFORT</v>
      </c>
      <c r="C6938" t="s">
        <v>64</v>
      </c>
    </row>
    <row r="6939" spans="1:3" x14ac:dyDescent="0.25">
      <c r="A6939" t="str">
        <f>"900003211"</f>
        <v>900003211</v>
      </c>
      <c r="B6939" t="str">
        <f>"EHPAD LA MAISON BLANCHE"</f>
        <v>EHPAD LA MAISON BLANCHE</v>
      </c>
      <c r="C6939" t="s">
        <v>64</v>
      </c>
    </row>
    <row r="6940" spans="1:3" x14ac:dyDescent="0.25">
      <c r="A6940" t="str">
        <f>"900003260"</f>
        <v>900003260</v>
      </c>
      <c r="B6940" t="str">
        <f>"EHPAD ST JOSEPH GIROMAGNY"</f>
        <v>EHPAD ST JOSEPH GIROMAGNY</v>
      </c>
      <c r="C6940" t="s">
        <v>64</v>
      </c>
    </row>
    <row r="6941" spans="1:3" x14ac:dyDescent="0.25">
      <c r="A6941" t="str">
        <f>"900003328"</f>
        <v>900003328</v>
      </c>
      <c r="B6941" t="str">
        <f>"EHPAD LES QUATRE SAISONS LE CHENOIS"</f>
        <v>EHPAD LES QUATRE SAISONS LE CHENOIS</v>
      </c>
      <c r="C6941" t="s">
        <v>64</v>
      </c>
    </row>
    <row r="6942" spans="1:3" x14ac:dyDescent="0.25">
      <c r="A6942" t="str">
        <f>"900003427"</f>
        <v>900003427</v>
      </c>
      <c r="B6942" t="str">
        <f>"EHPAD MARCEL BRAUN BAVILLIERS"</f>
        <v>EHPAD MARCEL BRAUN BAVILLIERS</v>
      </c>
      <c r="C6942" t="s">
        <v>64</v>
      </c>
    </row>
    <row r="6943" spans="1:3" x14ac:dyDescent="0.25">
      <c r="A6943" t="str">
        <f>"900003435"</f>
        <v>900003435</v>
      </c>
      <c r="B6943" t="str">
        <f>"EHPAD RESIDENCE VAUBAN BELFORT"</f>
        <v>EHPAD RESIDENCE VAUBAN BELFORT</v>
      </c>
      <c r="C6943" t="s">
        <v>64</v>
      </c>
    </row>
    <row r="6944" spans="1:3" x14ac:dyDescent="0.25">
      <c r="A6944" t="str">
        <f>"910000157"</f>
        <v>910000157</v>
      </c>
      <c r="B6944" t="str">
        <f>"EHPAD RESIDENCE PRO SANTE EVRY"</f>
        <v>EHPAD RESIDENCE PRO SANTE EVRY</v>
      </c>
      <c r="C6944" t="s">
        <v>71</v>
      </c>
    </row>
    <row r="6945" spans="1:3" x14ac:dyDescent="0.25">
      <c r="A6945" t="str">
        <f>"910000231"</f>
        <v>910000231</v>
      </c>
      <c r="B6945" t="str">
        <f>"EHPAD HOVIA QUINCY SOUS SENART"</f>
        <v>EHPAD HOVIA QUINCY SOUS SENART</v>
      </c>
      <c r="C6945" t="s">
        <v>71</v>
      </c>
    </row>
    <row r="6946" spans="1:3" x14ac:dyDescent="0.25">
      <c r="A6946" t="str">
        <f>"910002187"</f>
        <v>910002187</v>
      </c>
      <c r="B6946" t="str">
        <f>"EHPAD LOUIS PASTEUR"</f>
        <v>EHPAD LOUIS PASTEUR</v>
      </c>
      <c r="C6946" t="s">
        <v>71</v>
      </c>
    </row>
    <row r="6947" spans="1:3" x14ac:dyDescent="0.25">
      <c r="A6947" t="str">
        <f>"910002427"</f>
        <v>910002427</v>
      </c>
      <c r="B6947" t="str">
        <f>"EHPAD LES GROUETTES"</f>
        <v>EHPAD LES GROUETTES</v>
      </c>
      <c r="C6947" t="s">
        <v>71</v>
      </c>
    </row>
    <row r="6948" spans="1:3" x14ac:dyDescent="0.25">
      <c r="A6948" t="str">
        <f>"910003938"</f>
        <v>910003938</v>
      </c>
      <c r="B6948" t="str">
        <f>"EHPAD CENTRE DESFONTAINES"</f>
        <v>EHPAD CENTRE DESFONTAINES</v>
      </c>
      <c r="C6948" t="s">
        <v>71</v>
      </c>
    </row>
    <row r="6949" spans="1:3" x14ac:dyDescent="0.25">
      <c r="A6949" t="str">
        <f>"910004159"</f>
        <v>910004159</v>
      </c>
      <c r="B6949" t="str">
        <f>"EHPAD RESIDENCE BALLANCOURT"</f>
        <v>EHPAD RESIDENCE BALLANCOURT</v>
      </c>
      <c r="C6949" t="s">
        <v>71</v>
      </c>
    </row>
    <row r="6950" spans="1:3" x14ac:dyDescent="0.25">
      <c r="A6950" t="str">
        <f>"910004589"</f>
        <v>910004589</v>
      </c>
      <c r="B6950" t="str">
        <f>"EHPAD RESIDENCE DE L' ORGE"</f>
        <v>EHPAD RESIDENCE DE L' ORGE</v>
      </c>
      <c r="C6950" t="s">
        <v>71</v>
      </c>
    </row>
    <row r="6951" spans="1:3" x14ac:dyDescent="0.25">
      <c r="A6951" t="str">
        <f>"910005859"</f>
        <v>910005859</v>
      </c>
      <c r="B6951" t="str">
        <f>"EHPAD LES PARENTELES"</f>
        <v>EHPAD LES PARENTELES</v>
      </c>
      <c r="C6951" t="s">
        <v>71</v>
      </c>
    </row>
    <row r="6952" spans="1:3" x14ac:dyDescent="0.25">
      <c r="A6952" t="str">
        <f>"910006279"</f>
        <v>910006279</v>
      </c>
      <c r="B6952" t="str">
        <f>"EHPAD CAMILLE DESMOULINS"</f>
        <v>EHPAD CAMILLE DESMOULINS</v>
      </c>
      <c r="C6952" t="s">
        <v>71</v>
      </c>
    </row>
    <row r="6953" spans="1:3" x14ac:dyDescent="0.25">
      <c r="A6953" t="str">
        <f>"910008358"</f>
        <v>910008358</v>
      </c>
      <c r="B6953" t="str">
        <f>"EHPAD RESIDENCE LES JARDINS DU LAC"</f>
        <v>EHPAD RESIDENCE LES JARDINS DU LAC</v>
      </c>
      <c r="C6953" t="s">
        <v>71</v>
      </c>
    </row>
    <row r="6954" spans="1:3" x14ac:dyDescent="0.25">
      <c r="A6954" t="str">
        <f>"910009638"</f>
        <v>910009638</v>
      </c>
      <c r="B6954" t="str">
        <f>"EHPAD LA RESIDENCE MEDICIS"</f>
        <v>EHPAD LA RESIDENCE MEDICIS</v>
      </c>
      <c r="C6954" t="s">
        <v>71</v>
      </c>
    </row>
    <row r="6955" spans="1:3" x14ac:dyDescent="0.25">
      <c r="A6955" t="str">
        <f>"910013218"</f>
        <v>910013218</v>
      </c>
      <c r="B6955" t="str">
        <f>"EHPAD  RESIDENCE MEDICIS"</f>
        <v>EHPAD  RESIDENCE MEDICIS</v>
      </c>
      <c r="C6955" t="s">
        <v>71</v>
      </c>
    </row>
    <row r="6956" spans="1:3" x14ac:dyDescent="0.25">
      <c r="A6956" t="str">
        <f>"910013879"</f>
        <v>910013879</v>
      </c>
      <c r="B6956" t="str">
        <f>"EHPAD LA MAISON DES CLEMATITES"</f>
        <v>EHPAD LA MAISON DES CLEMATITES</v>
      </c>
      <c r="C6956" t="s">
        <v>71</v>
      </c>
    </row>
    <row r="6957" spans="1:3" x14ac:dyDescent="0.25">
      <c r="A6957" t="str">
        <f>"910013929"</f>
        <v>910013929</v>
      </c>
      <c r="B6957" t="str">
        <f>"EHPAD LA MAISON DE LA CHATAIGNERAIE"</f>
        <v>EHPAD LA MAISON DE LA CHATAIGNERAIE</v>
      </c>
      <c r="C6957" t="s">
        <v>71</v>
      </c>
    </row>
    <row r="6958" spans="1:3" x14ac:dyDescent="0.25">
      <c r="A6958" t="str">
        <f>"910013978"</f>
        <v>910013978</v>
      </c>
      <c r="B6958" t="str">
        <f>"EHPAD  DU BREUIL"</f>
        <v>EHPAD  DU BREUIL</v>
      </c>
      <c r="C6958" t="s">
        <v>71</v>
      </c>
    </row>
    <row r="6959" spans="1:3" x14ac:dyDescent="0.25">
      <c r="A6959" t="str">
        <f>"910015015"</f>
        <v>910015015</v>
      </c>
      <c r="B6959" t="str">
        <f>"EHPAD RESIDENCE DU PARC DE BELLEJAME"</f>
        <v>EHPAD RESIDENCE DU PARC DE BELLEJAME</v>
      </c>
      <c r="C6959" t="s">
        <v>71</v>
      </c>
    </row>
    <row r="6960" spans="1:3" x14ac:dyDescent="0.25">
      <c r="A6960" t="str">
        <f>"910015148"</f>
        <v>910015148</v>
      </c>
      <c r="B6960" t="str">
        <f>"EHPAD LA MAISON DES MERISIERS"</f>
        <v>EHPAD LA MAISON DES MERISIERS</v>
      </c>
      <c r="C6960" t="s">
        <v>71</v>
      </c>
    </row>
    <row r="6961" spans="1:3" x14ac:dyDescent="0.25">
      <c r="A6961" t="str">
        <f>"910015809"</f>
        <v>910015809</v>
      </c>
      <c r="B6961" t="str">
        <f>"EHPAD LES MAGNOLIAS"</f>
        <v>EHPAD LES MAGNOLIAS</v>
      </c>
      <c r="C6961" t="s">
        <v>71</v>
      </c>
    </row>
    <row r="6962" spans="1:3" x14ac:dyDescent="0.25">
      <c r="A6962" t="str">
        <f>"910016377"</f>
        <v>910016377</v>
      </c>
      <c r="B6962" t="str">
        <f>"EHPAD RESIDENCE LA MARTINIERE"</f>
        <v>EHPAD RESIDENCE LA MARTINIERE</v>
      </c>
      <c r="C6962" t="s">
        <v>71</v>
      </c>
    </row>
    <row r="6963" spans="1:3" x14ac:dyDescent="0.25">
      <c r="A6963" t="str">
        <f>"910017250"</f>
        <v>910017250</v>
      </c>
      <c r="B6963" t="str">
        <f>"EHPAD PERRAY VAUCLUSE"</f>
        <v>EHPAD PERRAY VAUCLUSE</v>
      </c>
      <c r="C6963" t="s">
        <v>71</v>
      </c>
    </row>
    <row r="6964" spans="1:3" x14ac:dyDescent="0.25">
      <c r="A6964" t="str">
        <f>"910017334"</f>
        <v>910017334</v>
      </c>
      <c r="B6964" t="str">
        <f>"EHPAD  LES JARDINS DU PLESSIS"</f>
        <v>EHPAD  LES JARDINS DU PLESSIS</v>
      </c>
      <c r="C6964" t="s">
        <v>71</v>
      </c>
    </row>
    <row r="6965" spans="1:3" x14ac:dyDescent="0.25">
      <c r="A6965" t="str">
        <f>"910017888"</f>
        <v>910017888</v>
      </c>
      <c r="B6965" t="str">
        <f>"EHPAD LE CLOS D ETRECHY"</f>
        <v>EHPAD LE CLOS D ETRECHY</v>
      </c>
      <c r="C6965" t="s">
        <v>71</v>
      </c>
    </row>
    <row r="6966" spans="1:3" x14ac:dyDescent="0.25">
      <c r="A6966" t="str">
        <f>"910019025"</f>
        <v>910019025</v>
      </c>
      <c r="B6966" t="str">
        <f>"EHPAD KORIAN COTEAUX DE L YVETTE"</f>
        <v>EHPAD KORIAN COTEAUX DE L YVETTE</v>
      </c>
      <c r="C6966" t="s">
        <v>71</v>
      </c>
    </row>
    <row r="6967" spans="1:3" x14ac:dyDescent="0.25">
      <c r="A6967" t="str">
        <f>"910019041"</f>
        <v>910019041</v>
      </c>
      <c r="B6967" t="str">
        <f>"EHPAD LES GARANCIERES"</f>
        <v>EHPAD LES GARANCIERES</v>
      </c>
      <c r="C6967" t="s">
        <v>71</v>
      </c>
    </row>
    <row r="6968" spans="1:3" x14ac:dyDescent="0.25">
      <c r="A6968" t="str">
        <f>"910019058"</f>
        <v>910019058</v>
      </c>
      <c r="B6968" t="str">
        <f>"EHPAD RESIDENCE DU PLATEAU"</f>
        <v>EHPAD RESIDENCE DU PLATEAU</v>
      </c>
      <c r="C6968" t="s">
        <v>71</v>
      </c>
    </row>
    <row r="6969" spans="1:3" x14ac:dyDescent="0.25">
      <c r="A6969" t="str">
        <f>"910019413"</f>
        <v>910019413</v>
      </c>
      <c r="B6969" t="str">
        <f>"EHPAD PUBLIC SIMONE VEIL"</f>
        <v>EHPAD PUBLIC SIMONE VEIL</v>
      </c>
      <c r="C6969" t="s">
        <v>71</v>
      </c>
    </row>
    <row r="6970" spans="1:3" x14ac:dyDescent="0.25">
      <c r="A6970" t="str">
        <f>"910019462"</f>
        <v>910019462</v>
      </c>
      <c r="B6970" t="str">
        <f>"EHPAD PUBLIC  GENEVIEVE LAROQUE"</f>
        <v>EHPAD PUBLIC  GENEVIEVE LAROQUE</v>
      </c>
      <c r="C6970" t="s">
        <v>71</v>
      </c>
    </row>
    <row r="6971" spans="1:3" x14ac:dyDescent="0.25">
      <c r="A6971" t="str">
        <f>"910019470"</f>
        <v>910019470</v>
      </c>
      <c r="B6971" t="str">
        <f>"EHPAD PUBLIC LOUISE MICHEL"</f>
        <v>EHPAD PUBLIC LOUISE MICHEL</v>
      </c>
      <c r="C6971" t="s">
        <v>71</v>
      </c>
    </row>
    <row r="6972" spans="1:3" x14ac:dyDescent="0.25">
      <c r="A6972" t="str">
        <f>"910019488"</f>
        <v>910019488</v>
      </c>
      <c r="B6972" t="str">
        <f>"EHPAD RESIDENCE DU MOULIN DE L EPINE"</f>
        <v>EHPAD RESIDENCE DU MOULIN DE L EPINE</v>
      </c>
      <c r="C6972" t="s">
        <v>71</v>
      </c>
    </row>
    <row r="6973" spans="1:3" x14ac:dyDescent="0.25">
      <c r="A6973" t="str">
        <f>"910020924"</f>
        <v>910020924</v>
      </c>
      <c r="B6973" t="str">
        <f>"EHPAD GENEVIEVE DE GAULLE ANTHONIOZ"</f>
        <v>EHPAD GENEVIEVE DE GAULLE ANTHONIOZ</v>
      </c>
      <c r="C6973" t="s">
        <v>71</v>
      </c>
    </row>
    <row r="6974" spans="1:3" x14ac:dyDescent="0.25">
      <c r="A6974" t="str">
        <f>"910021138"</f>
        <v>910021138</v>
      </c>
      <c r="B6974" t="str">
        <f>"EHPAD LOUISE DE VILMORIN"</f>
        <v>EHPAD LOUISE DE VILMORIN</v>
      </c>
      <c r="C6974" t="s">
        <v>71</v>
      </c>
    </row>
    <row r="6975" spans="1:3" x14ac:dyDescent="0.25">
      <c r="A6975" t="str">
        <f>"910040054"</f>
        <v>910040054</v>
      </c>
      <c r="B6975" t="str">
        <f>"EHPAD JEAN SARRAN"</f>
        <v>EHPAD JEAN SARRAN</v>
      </c>
      <c r="C6975" t="s">
        <v>71</v>
      </c>
    </row>
    <row r="6976" spans="1:3" x14ac:dyDescent="0.25">
      <c r="A6976" t="str">
        <f>"910040062"</f>
        <v>910040062</v>
      </c>
      <c r="B6976" t="str">
        <f>"EHPAD MAISON STE HELENE"</f>
        <v>EHPAD MAISON STE HELENE</v>
      </c>
      <c r="C6976" t="s">
        <v>71</v>
      </c>
    </row>
    <row r="6977" spans="1:3" x14ac:dyDescent="0.25">
      <c r="A6977" t="str">
        <f>"910040112"</f>
        <v>910040112</v>
      </c>
      <c r="B6977" t="str">
        <f>"EHPAD RESIDENCE  MASSY-VILMORIN"</f>
        <v>EHPAD RESIDENCE  MASSY-VILMORIN</v>
      </c>
      <c r="C6977" t="s">
        <v>71</v>
      </c>
    </row>
    <row r="6978" spans="1:3" x14ac:dyDescent="0.25">
      <c r="A6978" t="str">
        <f>"910300110"</f>
        <v>910300110</v>
      </c>
      <c r="B6978" t="str">
        <f>"EHPAD RESIDENCE GRANGER"</f>
        <v>EHPAD RESIDENCE GRANGER</v>
      </c>
      <c r="C6978" t="s">
        <v>71</v>
      </c>
    </row>
    <row r="6979" spans="1:3" x14ac:dyDescent="0.25">
      <c r="A6979" t="str">
        <f>"910460088"</f>
        <v>910460088</v>
      </c>
      <c r="B6979" t="str">
        <f>"EHPAD RENE LEGROS"</f>
        <v>EHPAD RENE LEGROS</v>
      </c>
      <c r="C6979" t="s">
        <v>71</v>
      </c>
    </row>
    <row r="6980" spans="1:3" x14ac:dyDescent="0.25">
      <c r="A6980" t="str">
        <f>"910460096"</f>
        <v>910460096</v>
      </c>
      <c r="B6980" t="str">
        <f>"EHPAD RESIDENCE DU BOIS"</f>
        <v>EHPAD RESIDENCE DU BOIS</v>
      </c>
      <c r="C6980" t="s">
        <v>71</v>
      </c>
    </row>
    <row r="6981" spans="1:3" x14ac:dyDescent="0.25">
      <c r="A6981" t="str">
        <f>"910460104"</f>
        <v>910460104</v>
      </c>
      <c r="B6981" t="str">
        <f>"EHPAD RESIDENCE ST CHARLES"</f>
        <v>EHPAD RESIDENCE ST CHARLES</v>
      </c>
      <c r="C6981" t="s">
        <v>71</v>
      </c>
    </row>
    <row r="6982" spans="1:3" x14ac:dyDescent="0.25">
      <c r="A6982" t="str">
        <f>"910700236"</f>
        <v>910700236</v>
      </c>
      <c r="B6982" t="str">
        <f>"EHPAD FILE ETOUPE"</f>
        <v>EHPAD FILE ETOUPE</v>
      </c>
      <c r="C6982" t="s">
        <v>71</v>
      </c>
    </row>
    <row r="6983" spans="1:3" x14ac:dyDescent="0.25">
      <c r="A6983" t="str">
        <f>"910700244"</f>
        <v>910700244</v>
      </c>
      <c r="B6983" t="str">
        <f>"EHPAD HAUTEFEUILLE"</f>
        <v>EHPAD HAUTEFEUILLE</v>
      </c>
      <c r="C6983" t="s">
        <v>71</v>
      </c>
    </row>
    <row r="6984" spans="1:3" x14ac:dyDescent="0.25">
      <c r="A6984" t="str">
        <f>"910700293"</f>
        <v>910700293</v>
      </c>
      <c r="B6984" t="str">
        <f>"EHPAD LA PIE VOLEUSE"</f>
        <v>EHPAD LA PIE VOLEUSE</v>
      </c>
      <c r="C6984" t="s">
        <v>71</v>
      </c>
    </row>
    <row r="6985" spans="1:3" x14ac:dyDescent="0.25">
      <c r="A6985" t="str">
        <f>"910700319"</f>
        <v>910700319</v>
      </c>
      <c r="B6985" t="str">
        <f>"EHPAD RESIDENCE RETRAITE DU CINEMA"</f>
        <v>EHPAD RESIDENCE RETRAITE DU CINEMA</v>
      </c>
      <c r="C6985" t="s">
        <v>71</v>
      </c>
    </row>
    <row r="6986" spans="1:3" x14ac:dyDescent="0.25">
      <c r="A6986" t="str">
        <f>"910700327"</f>
        <v>910700327</v>
      </c>
      <c r="B6986" t="str">
        <f>"EHPAD LEON MAUGE"</f>
        <v>EHPAD LEON MAUGE</v>
      </c>
      <c r="C6986" t="s">
        <v>71</v>
      </c>
    </row>
    <row r="6987" spans="1:3" x14ac:dyDescent="0.25">
      <c r="A6987" t="str">
        <f>"910700368"</f>
        <v>910700368</v>
      </c>
      <c r="B6987" t="str">
        <f>"EHPAD LA MAISON RUSSE"</f>
        <v>EHPAD LA MAISON RUSSE</v>
      </c>
      <c r="C6987" t="s">
        <v>71</v>
      </c>
    </row>
    <row r="6988" spans="1:3" x14ac:dyDescent="0.25">
      <c r="A6988" t="str">
        <f>"910700418"</f>
        <v>910700418</v>
      </c>
      <c r="B6988" t="str">
        <f>"EHPAD RESIDENCE BELLEVUE"</f>
        <v>EHPAD RESIDENCE BELLEVUE</v>
      </c>
      <c r="C6988" t="s">
        <v>71</v>
      </c>
    </row>
    <row r="6989" spans="1:3" x14ac:dyDescent="0.25">
      <c r="A6989" t="str">
        <f>"910700426"</f>
        <v>910700426</v>
      </c>
      <c r="B6989" t="str">
        <f>"EHPAD REPOTEL"</f>
        <v>EHPAD REPOTEL</v>
      </c>
      <c r="C6989" t="s">
        <v>71</v>
      </c>
    </row>
    <row r="6990" spans="1:3" x14ac:dyDescent="0.25">
      <c r="A6990" t="str">
        <f>"910700525"</f>
        <v>910700525</v>
      </c>
      <c r="B6990" t="str">
        <f>"EHPAD  CHATEAU DRANEM"</f>
        <v>EHPAD  CHATEAU DRANEM</v>
      </c>
      <c r="C6990" t="s">
        <v>71</v>
      </c>
    </row>
    <row r="6991" spans="1:3" x14ac:dyDescent="0.25">
      <c r="A6991" t="str">
        <f>"910700715"</f>
        <v>910700715</v>
      </c>
      <c r="B6991" t="str">
        <f>"EHPAD RESIDENCE DEGOMMIER"</f>
        <v>EHPAD RESIDENCE DEGOMMIER</v>
      </c>
      <c r="C6991" t="s">
        <v>71</v>
      </c>
    </row>
    <row r="6992" spans="1:3" x14ac:dyDescent="0.25">
      <c r="A6992" t="str">
        <f>"910700723"</f>
        <v>910700723</v>
      </c>
      <c r="B6992" t="str">
        <f>"EHPAD DE CHARAINTRU"</f>
        <v>EHPAD DE CHARAINTRU</v>
      </c>
      <c r="C6992" t="s">
        <v>71</v>
      </c>
    </row>
    <row r="6993" spans="1:3" x14ac:dyDescent="0.25">
      <c r="A6993" t="str">
        <f>"910700731"</f>
        <v>910700731</v>
      </c>
      <c r="B6993" t="str">
        <f>"EHPAD AMODRU"</f>
        <v>EHPAD AMODRU</v>
      </c>
      <c r="C6993" t="s">
        <v>71</v>
      </c>
    </row>
    <row r="6994" spans="1:3" x14ac:dyDescent="0.25">
      <c r="A6994" t="str">
        <f>"910701382"</f>
        <v>910701382</v>
      </c>
      <c r="B6994" t="str">
        <f>"EHPAD GUTIERREZ DE ESTRADA"</f>
        <v>EHPAD GUTIERREZ DE ESTRADA</v>
      </c>
      <c r="C6994" t="s">
        <v>71</v>
      </c>
    </row>
    <row r="6995" spans="1:3" x14ac:dyDescent="0.25">
      <c r="A6995" t="str">
        <f>"910701416"</f>
        <v>910701416</v>
      </c>
      <c r="B6995" t="str">
        <f>"EHPAD LES MARRONNIERS"</f>
        <v>EHPAD LES MARRONNIERS</v>
      </c>
      <c r="C6995" t="s">
        <v>71</v>
      </c>
    </row>
    <row r="6996" spans="1:3" x14ac:dyDescent="0.25">
      <c r="A6996" t="str">
        <f>"910701481"</f>
        <v>910701481</v>
      </c>
      <c r="B6996" t="str">
        <f>"EHPAD LA MAISON SAINT JOSEPH"</f>
        <v>EHPAD LA MAISON SAINT JOSEPH</v>
      </c>
      <c r="C6996" t="s">
        <v>71</v>
      </c>
    </row>
    <row r="6997" spans="1:3" x14ac:dyDescent="0.25">
      <c r="A6997" t="str">
        <f>"910701507"</f>
        <v>910701507</v>
      </c>
      <c r="B6997" t="str">
        <f>"EHPAD RESIDENCE HIPPOLYTE PANHARD"</f>
        <v>EHPAD RESIDENCE HIPPOLYTE PANHARD</v>
      </c>
      <c r="C6997" t="s">
        <v>71</v>
      </c>
    </row>
    <row r="6998" spans="1:3" x14ac:dyDescent="0.25">
      <c r="A6998" t="str">
        <f>"910701515"</f>
        <v>910701515</v>
      </c>
      <c r="B6998" t="str">
        <f>"EHPAD LE BOIS JOLI"</f>
        <v>EHPAD LE BOIS JOLI</v>
      </c>
      <c r="C6998" t="s">
        <v>71</v>
      </c>
    </row>
    <row r="6999" spans="1:3" x14ac:dyDescent="0.25">
      <c r="A6999" t="str">
        <f>"910701580"</f>
        <v>910701580</v>
      </c>
      <c r="B6999" t="str">
        <f>"EHPAD KORIAN LE GATINAIS"</f>
        <v>EHPAD KORIAN LE GATINAIS</v>
      </c>
      <c r="C6999" t="s">
        <v>71</v>
      </c>
    </row>
    <row r="7000" spans="1:3" x14ac:dyDescent="0.25">
      <c r="A7000" t="str">
        <f>"910701614"</f>
        <v>910701614</v>
      </c>
      <c r="B7000" t="str">
        <f>"EHPAD KORIAN LE FLORE"</f>
        <v>EHPAD KORIAN LE FLORE</v>
      </c>
      <c r="C7000" t="s">
        <v>71</v>
      </c>
    </row>
    <row r="7001" spans="1:3" x14ac:dyDescent="0.25">
      <c r="A7001" t="str">
        <f>"910701622"</f>
        <v>910701622</v>
      </c>
      <c r="B7001" t="str">
        <f>"EHPAD MELAVIE"</f>
        <v>EHPAD MELAVIE</v>
      </c>
      <c r="C7001" t="s">
        <v>71</v>
      </c>
    </row>
    <row r="7002" spans="1:3" x14ac:dyDescent="0.25">
      <c r="A7002" t="str">
        <f>"910701663"</f>
        <v>910701663</v>
      </c>
      <c r="B7002" t="str">
        <f>"EHPAD LE MANOIR"</f>
        <v>EHPAD LE MANOIR</v>
      </c>
      <c r="C7002" t="s">
        <v>71</v>
      </c>
    </row>
    <row r="7003" spans="1:3" x14ac:dyDescent="0.25">
      <c r="A7003" t="str">
        <f>"910701697"</f>
        <v>910701697</v>
      </c>
      <c r="B7003" t="str">
        <f>"EHPAD LE CHATEAU DE CHAMPLATREUX"</f>
        <v>EHPAD LE CHATEAU DE CHAMPLATREUX</v>
      </c>
      <c r="C7003" t="s">
        <v>71</v>
      </c>
    </row>
    <row r="7004" spans="1:3" x14ac:dyDescent="0.25">
      <c r="A7004" t="str">
        <f>"910701713"</f>
        <v>910701713</v>
      </c>
      <c r="B7004" t="str">
        <f>"EHPAD LES TILLEULS"</f>
        <v>EHPAD LES TILLEULS</v>
      </c>
      <c r="C7004" t="s">
        <v>71</v>
      </c>
    </row>
    <row r="7005" spans="1:3" x14ac:dyDescent="0.25">
      <c r="A7005" t="str">
        <f>"910701762"</f>
        <v>910701762</v>
      </c>
      <c r="B7005" t="str">
        <f>"EHPAD RESIDENCE L'ERMITAGE"</f>
        <v>EHPAD RESIDENCE L'ERMITAGE</v>
      </c>
      <c r="C7005" t="s">
        <v>71</v>
      </c>
    </row>
    <row r="7006" spans="1:3" x14ac:dyDescent="0.25">
      <c r="A7006" t="str">
        <f>"910701804"</f>
        <v>910701804</v>
      </c>
      <c r="B7006" t="str">
        <f>"EHPAD  LA ROSERAIE"</f>
        <v>EHPAD  LA ROSERAIE</v>
      </c>
      <c r="C7006" t="s">
        <v>71</v>
      </c>
    </row>
    <row r="7007" spans="1:3" x14ac:dyDescent="0.25">
      <c r="A7007" t="str">
        <f>"910701853"</f>
        <v>910701853</v>
      </c>
      <c r="B7007" t="str">
        <f>"EHPAD LES  MYOSOTIS"</f>
        <v>EHPAD LES  MYOSOTIS</v>
      </c>
      <c r="C7007" t="s">
        <v>71</v>
      </c>
    </row>
    <row r="7008" spans="1:3" x14ac:dyDescent="0.25">
      <c r="A7008" t="str">
        <f>"910702224"</f>
        <v>910702224</v>
      </c>
      <c r="B7008" t="str">
        <f>"EHPAD NOTRE DAME DE L ESPERANCE"</f>
        <v>EHPAD NOTRE DAME DE L ESPERANCE</v>
      </c>
      <c r="C7008" t="s">
        <v>71</v>
      </c>
    </row>
    <row r="7009" spans="1:3" x14ac:dyDescent="0.25">
      <c r="A7009" t="str">
        <f>"910707785"</f>
        <v>910707785</v>
      </c>
      <c r="B7009" t="str">
        <f>"EHPAD CHATEAU LA FONTAINE AUX COSSONS"</f>
        <v>EHPAD CHATEAU LA FONTAINE AUX COSSONS</v>
      </c>
      <c r="C7009" t="s">
        <v>71</v>
      </c>
    </row>
    <row r="7010" spans="1:3" x14ac:dyDescent="0.25">
      <c r="A7010" t="str">
        <f>"910800465"</f>
        <v>910800465</v>
      </c>
      <c r="B7010" t="str">
        <f>"EHPAD RESIDENCE LE CLOS FLEURI"</f>
        <v>EHPAD RESIDENCE LE CLOS FLEURI</v>
      </c>
      <c r="C7010" t="s">
        <v>71</v>
      </c>
    </row>
    <row r="7011" spans="1:3" x14ac:dyDescent="0.25">
      <c r="A7011" t="str">
        <f>"910800523"</f>
        <v>910800523</v>
      </c>
      <c r="B7011" t="str">
        <f>"EHPAD LE CENTENAIRE"</f>
        <v>EHPAD LE CENTENAIRE</v>
      </c>
      <c r="C7011" t="s">
        <v>71</v>
      </c>
    </row>
    <row r="7012" spans="1:3" x14ac:dyDescent="0.25">
      <c r="A7012" t="str">
        <f>"910800929"</f>
        <v>910800929</v>
      </c>
      <c r="B7012" t="str">
        <f>"EHPAD DU PETIT ST MARS"</f>
        <v>EHPAD DU PETIT ST MARS</v>
      </c>
      <c r="C7012" t="s">
        <v>71</v>
      </c>
    </row>
    <row r="7013" spans="1:3" x14ac:dyDescent="0.25">
      <c r="A7013" t="str">
        <f>"910800945"</f>
        <v>910800945</v>
      </c>
      <c r="B7013" t="str">
        <f>"EHPAD LE VILLAGE DU PAYS DE CHATRES"</f>
        <v>EHPAD LE VILLAGE DU PAYS DE CHATRES</v>
      </c>
      <c r="C7013" t="s">
        <v>71</v>
      </c>
    </row>
    <row r="7014" spans="1:3" x14ac:dyDescent="0.25">
      <c r="A7014" t="str">
        <f>"910800978"</f>
        <v>910800978</v>
      </c>
      <c r="B7014" t="str">
        <f>"EHPAD GALIGNANI"</f>
        <v>EHPAD GALIGNANI</v>
      </c>
      <c r="C7014" t="s">
        <v>71</v>
      </c>
    </row>
    <row r="7015" spans="1:3" x14ac:dyDescent="0.25">
      <c r="A7015" t="str">
        <f>"910802289"</f>
        <v>910802289</v>
      </c>
      <c r="B7015" t="str">
        <f>"EHPAD LE CHATEAU DE VILLEMOISSON"</f>
        <v>EHPAD LE CHATEAU DE VILLEMOISSON</v>
      </c>
      <c r="C7015" t="s">
        <v>71</v>
      </c>
    </row>
    <row r="7016" spans="1:3" x14ac:dyDescent="0.25">
      <c r="A7016" t="str">
        <f>"910803477"</f>
        <v>910803477</v>
      </c>
      <c r="B7016" t="str">
        <f>"EHPAD LA CITADINE"</f>
        <v>EHPAD LA CITADINE</v>
      </c>
      <c r="C7016" t="s">
        <v>71</v>
      </c>
    </row>
    <row r="7017" spans="1:3" x14ac:dyDescent="0.25">
      <c r="A7017" t="str">
        <f>"910805449"</f>
        <v>910805449</v>
      </c>
      <c r="B7017" t="str">
        <f>"EHPAD LES TISSERINS"</f>
        <v>EHPAD LES TISSERINS</v>
      </c>
      <c r="C7017" t="s">
        <v>71</v>
      </c>
    </row>
    <row r="7018" spans="1:3" x14ac:dyDescent="0.25">
      <c r="A7018" t="str">
        <f>"910805621"</f>
        <v>910805621</v>
      </c>
      <c r="B7018" t="str">
        <f>"EHPAD  RESIDENCE LA GENTILHOMMIERE"</f>
        <v>EHPAD  RESIDENCE LA GENTILHOMMIERE</v>
      </c>
      <c r="C7018" t="s">
        <v>71</v>
      </c>
    </row>
    <row r="7019" spans="1:3" x14ac:dyDescent="0.25">
      <c r="A7019" t="str">
        <f>"910805837"</f>
        <v>910805837</v>
      </c>
      <c r="B7019" t="str">
        <f>"EHPAD MAISON DE FAMILLE LES ETANGS"</f>
        <v>EHPAD MAISON DE FAMILLE LES ETANGS</v>
      </c>
      <c r="C7019" t="s">
        <v>71</v>
      </c>
    </row>
    <row r="7020" spans="1:3" x14ac:dyDescent="0.25">
      <c r="A7020" t="str">
        <f>"910806074"</f>
        <v>910806074</v>
      </c>
      <c r="B7020" t="str">
        <f>"EHPAD KORIAN CHATEAU DE LORMOY"</f>
        <v>EHPAD KORIAN CHATEAU DE LORMOY</v>
      </c>
      <c r="C7020" t="s">
        <v>71</v>
      </c>
    </row>
    <row r="7021" spans="1:3" x14ac:dyDescent="0.25">
      <c r="A7021" t="str">
        <f>"910806215"</f>
        <v>910806215</v>
      </c>
      <c r="B7021" t="str">
        <f>"EHPAD TAMIAS"</f>
        <v>EHPAD TAMIAS</v>
      </c>
      <c r="C7021" t="s">
        <v>71</v>
      </c>
    </row>
    <row r="7022" spans="1:3" x14ac:dyDescent="0.25">
      <c r="A7022" t="str">
        <f>"910806355"</f>
        <v>910806355</v>
      </c>
      <c r="B7022" t="str">
        <f>"EHPAD  SAINT JEAN BAPTISTE DE LA SALLE"</f>
        <v>EHPAD  SAINT JEAN BAPTISTE DE LA SALLE</v>
      </c>
      <c r="C7022" t="s">
        <v>71</v>
      </c>
    </row>
    <row r="7023" spans="1:3" x14ac:dyDescent="0.25">
      <c r="A7023" t="str">
        <f>"910808682"</f>
        <v>910808682</v>
      </c>
      <c r="B7023" t="str">
        <f>"EHPAD REPOTEL MARCOUSSIS"</f>
        <v>EHPAD REPOTEL MARCOUSSIS</v>
      </c>
      <c r="C7023" t="s">
        <v>71</v>
      </c>
    </row>
    <row r="7024" spans="1:3" x14ac:dyDescent="0.25">
      <c r="A7024" t="str">
        <f>"910808807"</f>
        <v>910808807</v>
      </c>
      <c r="B7024" t="str">
        <f>"EHPAD RESIDENCE SOFIA"</f>
        <v>EHPAD RESIDENCE SOFIA</v>
      </c>
      <c r="C7024" t="s">
        <v>71</v>
      </c>
    </row>
    <row r="7025" spans="1:3" x14ac:dyDescent="0.25">
      <c r="A7025" t="str">
        <f>"910810639"</f>
        <v>910810639</v>
      </c>
      <c r="B7025" t="str">
        <f>"EHPAD MARCEL PAUL"</f>
        <v>EHPAD MARCEL PAUL</v>
      </c>
      <c r="C7025" t="s">
        <v>71</v>
      </c>
    </row>
    <row r="7026" spans="1:3" x14ac:dyDescent="0.25">
      <c r="A7026" t="str">
        <f>"910810795"</f>
        <v>910810795</v>
      </c>
      <c r="B7026" t="str">
        <f>"EHPAD RESIDENCE STE GENEVIEVE"</f>
        <v>EHPAD RESIDENCE STE GENEVIEVE</v>
      </c>
      <c r="C7026" t="s">
        <v>71</v>
      </c>
    </row>
    <row r="7027" spans="1:3" x14ac:dyDescent="0.25">
      <c r="A7027" t="str">
        <f>"910810803"</f>
        <v>910810803</v>
      </c>
      <c r="B7027" t="str">
        <f>"EHPAD DE LA FORET DE SEQUIGNY"</f>
        <v>EHPAD DE LA FORET DE SEQUIGNY</v>
      </c>
      <c r="C7027" t="s">
        <v>71</v>
      </c>
    </row>
    <row r="7028" spans="1:3" x14ac:dyDescent="0.25">
      <c r="A7028" t="str">
        <f>"910811108"</f>
        <v>910811108</v>
      </c>
      <c r="B7028" t="str">
        <f>"EHPAD RESIDENCE  LES HAUTES FUTAIES"</f>
        <v>EHPAD RESIDENCE  LES HAUTES FUTAIES</v>
      </c>
      <c r="C7028" t="s">
        <v>71</v>
      </c>
    </row>
    <row r="7029" spans="1:3" x14ac:dyDescent="0.25">
      <c r="A7029" t="str">
        <f>"910811116"</f>
        <v>910811116</v>
      </c>
      <c r="B7029" t="str">
        <f>"EHPAD  RESIDENCE TOURNEBRIDE"</f>
        <v>EHPAD  RESIDENCE TOURNEBRIDE</v>
      </c>
      <c r="C7029" t="s">
        <v>71</v>
      </c>
    </row>
    <row r="7030" spans="1:3" x14ac:dyDescent="0.25">
      <c r="A7030" t="str">
        <f>"910811736"</f>
        <v>910811736</v>
      </c>
      <c r="B7030" t="str">
        <f>"EHPAD RESIDENCE LA COLOMBIERE"</f>
        <v>EHPAD RESIDENCE LA COLOMBIERE</v>
      </c>
      <c r="C7030" t="s">
        <v>71</v>
      </c>
    </row>
    <row r="7031" spans="1:3" x14ac:dyDescent="0.25">
      <c r="A7031" t="str">
        <f>"910812544"</f>
        <v>910812544</v>
      </c>
      <c r="B7031" t="str">
        <f>"EHPAD DOMAINE DE LA CHALOUETTE"</f>
        <v>EHPAD DOMAINE DE LA CHALOUETTE</v>
      </c>
      <c r="C7031" t="s">
        <v>71</v>
      </c>
    </row>
    <row r="7032" spans="1:3" x14ac:dyDescent="0.25">
      <c r="A7032" t="str">
        <f>"910813120"</f>
        <v>910813120</v>
      </c>
      <c r="B7032" t="str">
        <f>"EHPAD KORIAN JARDINS DE SERENA"</f>
        <v>EHPAD KORIAN JARDINS DE SERENA</v>
      </c>
      <c r="C7032" t="s">
        <v>71</v>
      </c>
    </row>
    <row r="7033" spans="1:3" x14ac:dyDescent="0.25">
      <c r="A7033" t="str">
        <f>"910813138"</f>
        <v>910813138</v>
      </c>
      <c r="B7033" t="str">
        <f>"EHPAD  LE VILLAGE"</f>
        <v>EHPAD  LE VILLAGE</v>
      </c>
      <c r="C7033" t="s">
        <v>71</v>
      </c>
    </row>
    <row r="7034" spans="1:3" x14ac:dyDescent="0.25">
      <c r="A7034" t="str">
        <f>"910813450"</f>
        <v>910813450</v>
      </c>
      <c r="B7034" t="str">
        <f>"EHPAD LES JARDINS DE ROINVILLE"</f>
        <v>EHPAD LES JARDINS DE ROINVILLE</v>
      </c>
      <c r="C7034" t="s">
        <v>71</v>
      </c>
    </row>
    <row r="7035" spans="1:3" x14ac:dyDescent="0.25">
      <c r="A7035" t="str">
        <f>"910813583"</f>
        <v>910813583</v>
      </c>
      <c r="B7035" t="str">
        <f>"EHPAD RESIDENCE ASPHODIA"</f>
        <v>EHPAD RESIDENCE ASPHODIA</v>
      </c>
      <c r="C7035" t="s">
        <v>71</v>
      </c>
    </row>
    <row r="7036" spans="1:3" x14ac:dyDescent="0.25">
      <c r="A7036" t="str">
        <f>"910813815"</f>
        <v>910813815</v>
      </c>
      <c r="B7036" t="str">
        <f>"EHPAD  COLOMBIER DE CORBREUSE"</f>
        <v>EHPAD  COLOMBIER DE CORBREUSE</v>
      </c>
      <c r="C7036" t="s">
        <v>71</v>
      </c>
    </row>
    <row r="7037" spans="1:3" x14ac:dyDescent="0.25">
      <c r="A7037" t="str">
        <f>"910814078"</f>
        <v>910814078</v>
      </c>
      <c r="B7037" t="str">
        <f>"EHPAD LES LARRIS COALLIA"</f>
        <v>EHPAD LES LARRIS COALLIA</v>
      </c>
      <c r="C7037" t="s">
        <v>71</v>
      </c>
    </row>
    <row r="7038" spans="1:3" x14ac:dyDescent="0.25">
      <c r="A7038" t="str">
        <f>"910814508"</f>
        <v>910814508</v>
      </c>
      <c r="B7038" t="str">
        <f>"EHPAD LES CHENES VERTS"</f>
        <v>EHPAD LES CHENES VERTS</v>
      </c>
      <c r="C7038" t="s">
        <v>71</v>
      </c>
    </row>
    <row r="7039" spans="1:3" x14ac:dyDescent="0.25">
      <c r="A7039" t="str">
        <f>"910814557"</f>
        <v>910814557</v>
      </c>
      <c r="B7039" t="str">
        <f>"EHPAD LA MAISON DU CEDRE BLEU"</f>
        <v>EHPAD LA MAISON DU CEDRE BLEU</v>
      </c>
      <c r="C7039" t="s">
        <v>71</v>
      </c>
    </row>
    <row r="7040" spans="1:3" x14ac:dyDescent="0.25">
      <c r="A7040" t="str">
        <f>"910814649"</f>
        <v>910814649</v>
      </c>
      <c r="B7040" t="str">
        <f>"EHPAD LE MANOIR"</f>
        <v>EHPAD LE MANOIR</v>
      </c>
      <c r="C7040" t="s">
        <v>71</v>
      </c>
    </row>
    <row r="7041" spans="1:3" x14ac:dyDescent="0.25">
      <c r="A7041" t="str">
        <f>"910815018"</f>
        <v>910815018</v>
      </c>
      <c r="B7041" t="str">
        <f>"EHPAD RESIDENCE LES CEDRES"</f>
        <v>EHPAD RESIDENCE LES CEDRES</v>
      </c>
      <c r="C7041" t="s">
        <v>71</v>
      </c>
    </row>
    <row r="7042" spans="1:3" x14ac:dyDescent="0.25">
      <c r="A7042" t="str">
        <f>"910815026"</f>
        <v>910815026</v>
      </c>
      <c r="B7042" t="str">
        <f>"EHPAD LE CERCLE DES AINES"</f>
        <v>EHPAD LE CERCLE DES AINES</v>
      </c>
      <c r="C7042" t="s">
        <v>71</v>
      </c>
    </row>
    <row r="7043" spans="1:3" x14ac:dyDescent="0.25">
      <c r="A7043" t="str">
        <f>"910815281"</f>
        <v>910815281</v>
      </c>
      <c r="B7043" t="str">
        <f>"EHPAD LA FONTAINE  MEDICIS"</f>
        <v>EHPAD LA FONTAINE  MEDICIS</v>
      </c>
      <c r="C7043" t="s">
        <v>71</v>
      </c>
    </row>
    <row r="7044" spans="1:3" x14ac:dyDescent="0.25">
      <c r="A7044" t="str">
        <f>"910816024"</f>
        <v>910816024</v>
      </c>
      <c r="B7044" t="str">
        <f>"EHPAD RESIDENCE MOSAIQUE"</f>
        <v>EHPAD RESIDENCE MOSAIQUE</v>
      </c>
      <c r="C7044" t="s">
        <v>71</v>
      </c>
    </row>
    <row r="7045" spans="1:3" x14ac:dyDescent="0.25">
      <c r="A7045" t="str">
        <f>"920000148"</f>
        <v>920000148</v>
      </c>
      <c r="B7045" t="str">
        <f>"EHPAD RESIDENCE TIERS TEMPS"</f>
        <v>EHPAD RESIDENCE TIERS TEMPS</v>
      </c>
      <c r="C7045" t="s">
        <v>71</v>
      </c>
    </row>
    <row r="7046" spans="1:3" x14ac:dyDescent="0.25">
      <c r="A7046" t="str">
        <f>"920000155"</f>
        <v>920000155</v>
      </c>
      <c r="B7046" t="str">
        <f>"EHPAD RESIDENCE GER HOME"</f>
        <v>EHPAD RESIDENCE GER HOME</v>
      </c>
      <c r="C7046" t="s">
        <v>71</v>
      </c>
    </row>
    <row r="7047" spans="1:3" x14ac:dyDescent="0.25">
      <c r="A7047" t="str">
        <f>"920003043"</f>
        <v>920003043</v>
      </c>
      <c r="B7047" t="str">
        <f>"EHPAD RESIDENCE AZUR"</f>
        <v>EHPAD RESIDENCE AZUR</v>
      </c>
      <c r="C7047" t="s">
        <v>71</v>
      </c>
    </row>
    <row r="7048" spans="1:3" x14ac:dyDescent="0.25">
      <c r="A7048" t="str">
        <f>"920003571"</f>
        <v>920003571</v>
      </c>
      <c r="B7048" t="str">
        <f>"EHPAD RESIDENCE SAINT BENOIT"</f>
        <v>EHPAD RESIDENCE SAINT BENOIT</v>
      </c>
      <c r="C7048" t="s">
        <v>71</v>
      </c>
    </row>
    <row r="7049" spans="1:3" x14ac:dyDescent="0.25">
      <c r="A7049" t="str">
        <f>"920003944"</f>
        <v>920003944</v>
      </c>
      <c r="B7049" t="str">
        <f>"EHPAD RESIDENCE HIPPOCRATE"</f>
        <v>EHPAD RESIDENCE HIPPOCRATE</v>
      </c>
      <c r="C7049" t="s">
        <v>71</v>
      </c>
    </row>
    <row r="7050" spans="1:3" x14ac:dyDescent="0.25">
      <c r="A7050" t="str">
        <f>"920004439"</f>
        <v>920004439</v>
      </c>
      <c r="B7050" t="str">
        <f>"EHPAD RESIDENCE LES NEUF MUSES"</f>
        <v>EHPAD RESIDENCE LES NEUF MUSES</v>
      </c>
      <c r="C7050" t="s">
        <v>71</v>
      </c>
    </row>
    <row r="7051" spans="1:3" x14ac:dyDescent="0.25">
      <c r="A7051" t="str">
        <f>"920005329"</f>
        <v>920005329</v>
      </c>
      <c r="B7051" t="str">
        <f>"EHPAD RESIDENCE MARCELLE DEVAUD"</f>
        <v>EHPAD RESIDENCE MARCELLE DEVAUD</v>
      </c>
      <c r="C7051" t="s">
        <v>71</v>
      </c>
    </row>
    <row r="7052" spans="1:3" x14ac:dyDescent="0.25">
      <c r="A7052" t="str">
        <f>"920006129"</f>
        <v>920006129</v>
      </c>
      <c r="B7052" t="str">
        <f>"EHPAD LE CLOS DES MEUNIERS"</f>
        <v>EHPAD LE CLOS DES MEUNIERS</v>
      </c>
      <c r="C7052" t="s">
        <v>71</v>
      </c>
    </row>
    <row r="7053" spans="1:3" x14ac:dyDescent="0.25">
      <c r="A7053" t="str">
        <f>"920006772"</f>
        <v>920006772</v>
      </c>
      <c r="B7053" t="str">
        <f>"EHPAD MAISON DE RETRAITE SOYER"</f>
        <v>EHPAD MAISON DE RETRAITE SOYER</v>
      </c>
      <c r="C7053" t="s">
        <v>71</v>
      </c>
    </row>
    <row r="7054" spans="1:3" x14ac:dyDescent="0.25">
      <c r="A7054" t="str">
        <f>"920006798"</f>
        <v>920006798</v>
      </c>
      <c r="B7054" t="str">
        <f>"EHPAD LA MAISON DES CYTISES"</f>
        <v>EHPAD LA MAISON DES CYTISES</v>
      </c>
      <c r="C7054" t="s">
        <v>71</v>
      </c>
    </row>
    <row r="7055" spans="1:3" x14ac:dyDescent="0.25">
      <c r="A7055" t="str">
        <f>"920006863"</f>
        <v>920006863</v>
      </c>
      <c r="B7055" t="str">
        <f>"EHPAD RESIDENCE LE JARDIN DE LEVALLOIS"</f>
        <v>EHPAD RESIDENCE LE JARDIN DE LEVALLOIS</v>
      </c>
      <c r="C7055" t="s">
        <v>71</v>
      </c>
    </row>
    <row r="7056" spans="1:3" x14ac:dyDescent="0.25">
      <c r="A7056" t="str">
        <f>"920006889"</f>
        <v>920006889</v>
      </c>
      <c r="B7056" t="str">
        <f>"EHPAD LA JONCHERE"</f>
        <v>EHPAD LA JONCHERE</v>
      </c>
      <c r="C7056" t="s">
        <v>71</v>
      </c>
    </row>
    <row r="7057" spans="1:3" x14ac:dyDescent="0.25">
      <c r="A7057" t="str">
        <f>"920011749"</f>
        <v>920011749</v>
      </c>
      <c r="B7057" t="str">
        <f>"EHPAD RESIDENCE PORT VAN GOGH"</f>
        <v>EHPAD RESIDENCE PORT VAN GOGH</v>
      </c>
      <c r="C7057" t="s">
        <v>71</v>
      </c>
    </row>
    <row r="7058" spans="1:3" x14ac:dyDescent="0.25">
      <c r="A7058" t="str">
        <f>"920011848"</f>
        <v>920011848</v>
      </c>
      <c r="B7058" t="str">
        <f>"EHPAD RESIDENCE LES ADRETS"</f>
        <v>EHPAD RESIDENCE LES ADRETS</v>
      </c>
      <c r="C7058" t="s">
        <v>71</v>
      </c>
    </row>
    <row r="7059" spans="1:3" x14ac:dyDescent="0.25">
      <c r="A7059" t="str">
        <f>"920012168"</f>
        <v>920012168</v>
      </c>
      <c r="B7059" t="str">
        <f>"EHPAD RESIDENCE VILLA MEDICIS"</f>
        <v>EHPAD RESIDENCE VILLA MEDICIS</v>
      </c>
      <c r="C7059" t="s">
        <v>71</v>
      </c>
    </row>
    <row r="7060" spans="1:3" x14ac:dyDescent="0.25">
      <c r="A7060" t="str">
        <f>"920014289"</f>
        <v>920014289</v>
      </c>
      <c r="B7060" t="str">
        <f>"EHPAD RESIDENCE RABELAIS"</f>
        <v>EHPAD RESIDENCE RABELAIS</v>
      </c>
      <c r="C7060" t="s">
        <v>71</v>
      </c>
    </row>
    <row r="7061" spans="1:3" x14ac:dyDescent="0.25">
      <c r="A7061" t="str">
        <f>"920015468"</f>
        <v>920015468</v>
      </c>
      <c r="B7061" t="str">
        <f>"EHPAD KORIAN HAUTS DE JARDY"</f>
        <v>EHPAD KORIAN HAUTS DE JARDY</v>
      </c>
      <c r="C7061" t="s">
        <v>71</v>
      </c>
    </row>
    <row r="7062" spans="1:3" x14ac:dyDescent="0.25">
      <c r="A7062" t="str">
        <f>"920015559"</f>
        <v>920015559</v>
      </c>
      <c r="B7062" t="str">
        <f>"EHPAD LA MAISON DE L ERABLE ARGENTE"</f>
        <v>EHPAD LA MAISON DE L ERABLE ARGENTE</v>
      </c>
      <c r="C7062" t="s">
        <v>71</v>
      </c>
    </row>
    <row r="7063" spans="1:3" x14ac:dyDescent="0.25">
      <c r="A7063" t="str">
        <f>"920015609"</f>
        <v>920015609</v>
      </c>
      <c r="B7063" t="str">
        <f>"EHPAD RESIDENCE LES VIGNES"</f>
        <v>EHPAD RESIDENCE LES VIGNES</v>
      </c>
      <c r="C7063" t="s">
        <v>71</v>
      </c>
    </row>
    <row r="7064" spans="1:3" x14ac:dyDescent="0.25">
      <c r="A7064" t="str">
        <f>"920017308"</f>
        <v>920017308</v>
      </c>
      <c r="B7064" t="str">
        <f>"EHPAD VILLA BEAU SOLEIL CHAVILLE"</f>
        <v>EHPAD VILLA BEAU SOLEIL CHAVILLE</v>
      </c>
      <c r="C7064" t="s">
        <v>71</v>
      </c>
    </row>
    <row r="7065" spans="1:3" x14ac:dyDescent="0.25">
      <c r="A7065" t="str">
        <f>"920017639"</f>
        <v>920017639</v>
      </c>
      <c r="B7065" t="str">
        <f>"EHPAD VILLA MEDICIS"</f>
        <v>EHPAD VILLA MEDICIS</v>
      </c>
      <c r="C7065" t="s">
        <v>71</v>
      </c>
    </row>
    <row r="7066" spans="1:3" x14ac:dyDescent="0.25">
      <c r="A7066" t="str">
        <f>"920019098"</f>
        <v>920019098</v>
      </c>
      <c r="B7066" t="str">
        <f>"EHPAD RESIDENCE LA BRUYERE"</f>
        <v>EHPAD RESIDENCE LA BRUYERE</v>
      </c>
      <c r="C7066" t="s">
        <v>71</v>
      </c>
    </row>
    <row r="7067" spans="1:3" x14ac:dyDescent="0.25">
      <c r="A7067" t="str">
        <f>"920019429"</f>
        <v>920019429</v>
      </c>
      <c r="B7067" t="str">
        <f>"EHPAD RESIDENCE DU PARC DE MEUDON"</f>
        <v>EHPAD RESIDENCE DU PARC DE MEUDON</v>
      </c>
      <c r="C7067" t="s">
        <v>71</v>
      </c>
    </row>
    <row r="7068" spans="1:3" x14ac:dyDescent="0.25">
      <c r="A7068" t="str">
        <f>"920020559"</f>
        <v>920020559</v>
      </c>
      <c r="B7068" t="str">
        <f>"EHPAD RESIDENCE ALPHONSE DAUDET"</f>
        <v>EHPAD RESIDENCE ALPHONSE DAUDET</v>
      </c>
      <c r="C7068" t="s">
        <v>71</v>
      </c>
    </row>
    <row r="7069" spans="1:3" x14ac:dyDescent="0.25">
      <c r="A7069" t="str">
        <f>"920020849"</f>
        <v>920020849</v>
      </c>
      <c r="B7069" t="str">
        <f>"EHPAD RESIDENCE ORPEA LE CORBUSIER"</f>
        <v>EHPAD RESIDENCE ORPEA LE CORBUSIER</v>
      </c>
      <c r="C7069" t="s">
        <v>71</v>
      </c>
    </row>
    <row r="7070" spans="1:3" x14ac:dyDescent="0.25">
      <c r="A7070" t="str">
        <f>"920021268"</f>
        <v>920021268</v>
      </c>
      <c r="B7070" t="str">
        <f>"EHPAD SOLEMNES"</f>
        <v>EHPAD SOLEMNES</v>
      </c>
      <c r="C7070" t="s">
        <v>71</v>
      </c>
    </row>
    <row r="7071" spans="1:3" x14ac:dyDescent="0.25">
      <c r="A7071" t="str">
        <f>"920022118"</f>
        <v>920022118</v>
      </c>
      <c r="B7071" t="str">
        <f>"EHPAD LES VALLEES"</f>
        <v>EHPAD LES VALLEES</v>
      </c>
      <c r="C7071" t="s">
        <v>71</v>
      </c>
    </row>
    <row r="7072" spans="1:3" x14ac:dyDescent="0.25">
      <c r="A7072" t="str">
        <f>"920022399"</f>
        <v>920022399</v>
      </c>
      <c r="B7072" t="str">
        <f>"EHPAD RESIDENCE DE L EMPEREUR"</f>
        <v>EHPAD RESIDENCE DE L EMPEREUR</v>
      </c>
      <c r="C7072" t="s">
        <v>71</v>
      </c>
    </row>
    <row r="7073" spans="1:3" x14ac:dyDescent="0.25">
      <c r="A7073" t="str">
        <f>"920022571"</f>
        <v>920022571</v>
      </c>
      <c r="B7073" t="str">
        <f>"EHPAD LA MAISON DES POETES"</f>
        <v>EHPAD LA MAISON DES POETES</v>
      </c>
      <c r="C7073" t="s">
        <v>71</v>
      </c>
    </row>
    <row r="7074" spans="1:3" x14ac:dyDescent="0.25">
      <c r="A7074" t="str">
        <f>"920022928"</f>
        <v>920022928</v>
      </c>
      <c r="B7074" t="str">
        <f>"EHPAD LES 4 SAISONS"</f>
        <v>EHPAD LES 4 SAISONS</v>
      </c>
      <c r="C7074" t="s">
        <v>71</v>
      </c>
    </row>
    <row r="7075" spans="1:3" x14ac:dyDescent="0.25">
      <c r="A7075" t="str">
        <f>"920023678"</f>
        <v>920023678</v>
      </c>
      <c r="B7075" t="str">
        <f>"EHPAD RESIDENCE LES BORDS DE SEINE"</f>
        <v>EHPAD RESIDENCE LES BORDS DE SEINE</v>
      </c>
      <c r="C7075" t="s">
        <v>71</v>
      </c>
    </row>
    <row r="7076" spans="1:3" x14ac:dyDescent="0.25">
      <c r="A7076" t="str">
        <f>"920024106"</f>
        <v>920024106</v>
      </c>
      <c r="B7076" t="str">
        <f>"EHPAD KORIAN LES SARMENTS"</f>
        <v>EHPAD KORIAN LES SARMENTS</v>
      </c>
      <c r="C7076" t="s">
        <v>71</v>
      </c>
    </row>
    <row r="7077" spans="1:3" x14ac:dyDescent="0.25">
      <c r="A7077" t="str">
        <f>"920024874"</f>
        <v>920024874</v>
      </c>
      <c r="B7077" t="str">
        <f>"EHPAD RESIDENCE LES MARINES"</f>
        <v>EHPAD RESIDENCE LES MARINES</v>
      </c>
      <c r="C7077" t="s">
        <v>71</v>
      </c>
    </row>
    <row r="7078" spans="1:3" x14ac:dyDescent="0.25">
      <c r="A7078" t="str">
        <f>"920024957"</f>
        <v>920024957</v>
      </c>
      <c r="B7078" t="str">
        <f>"EHPAD KORIAN BEL AIR"</f>
        <v>EHPAD KORIAN BEL AIR</v>
      </c>
      <c r="C7078" t="s">
        <v>71</v>
      </c>
    </row>
    <row r="7079" spans="1:3" x14ac:dyDescent="0.25">
      <c r="A7079" t="str">
        <f>"920025202"</f>
        <v>920025202</v>
      </c>
      <c r="B7079" t="str">
        <f>"EHPAD RESIDENCE LA CHAMADE"</f>
        <v>EHPAD RESIDENCE LA CHAMADE</v>
      </c>
      <c r="C7079" t="s">
        <v>71</v>
      </c>
    </row>
    <row r="7080" spans="1:3" x14ac:dyDescent="0.25">
      <c r="A7080" t="str">
        <f>"920025350"</f>
        <v>920025350</v>
      </c>
      <c r="B7080" t="str">
        <f>"EHPAD RESIDENCE LEONARD DE VINCI"</f>
        <v>EHPAD RESIDENCE LEONARD DE VINCI</v>
      </c>
      <c r="C7080" t="s">
        <v>71</v>
      </c>
    </row>
    <row r="7081" spans="1:3" x14ac:dyDescent="0.25">
      <c r="A7081" t="str">
        <f>"920025483"</f>
        <v>920025483</v>
      </c>
      <c r="B7081" t="str">
        <f>"EHPAD RESIDENCE DU PARC"</f>
        <v>EHPAD RESIDENCE DU PARC</v>
      </c>
      <c r="C7081" t="s">
        <v>71</v>
      </c>
    </row>
    <row r="7082" spans="1:3" x14ac:dyDescent="0.25">
      <c r="A7082" t="str">
        <f>"920026366"</f>
        <v>920026366</v>
      </c>
      <c r="B7082" t="str">
        <f>"EHPAD RESIDENCE DE LONGCHAMP ST CLOUD"</f>
        <v>EHPAD RESIDENCE DE LONGCHAMP ST CLOUD</v>
      </c>
      <c r="C7082" t="s">
        <v>71</v>
      </c>
    </row>
    <row r="7083" spans="1:3" x14ac:dyDescent="0.25">
      <c r="A7083" t="str">
        <f>"920026465"</f>
        <v>920026465</v>
      </c>
      <c r="B7083" t="str">
        <f>"EHPAD DOLCEA VILLA MEDICIS"</f>
        <v>EHPAD DOLCEA VILLA MEDICIS</v>
      </c>
      <c r="C7083" t="s">
        <v>71</v>
      </c>
    </row>
    <row r="7084" spans="1:3" x14ac:dyDescent="0.25">
      <c r="A7084" t="str">
        <f>"920026481"</f>
        <v>920026481</v>
      </c>
      <c r="B7084" t="str">
        <f>"EHPAD RESIDENCE LA TOURNELLE"</f>
        <v>EHPAD RESIDENCE LA TOURNELLE</v>
      </c>
      <c r="C7084" t="s">
        <v>71</v>
      </c>
    </row>
    <row r="7085" spans="1:3" x14ac:dyDescent="0.25">
      <c r="A7085" t="str">
        <f>"920026507"</f>
        <v>920026507</v>
      </c>
      <c r="B7085" t="str">
        <f>"EHPAD VILLA BORGHESE"</f>
        <v>EHPAD VILLA BORGHESE</v>
      </c>
      <c r="C7085" t="s">
        <v>71</v>
      </c>
    </row>
    <row r="7086" spans="1:3" x14ac:dyDescent="0.25">
      <c r="A7086" t="str">
        <f>"920026556"</f>
        <v>920026556</v>
      </c>
      <c r="B7086" t="str">
        <f>"EPHAD MAISON SOINS ET REPOS"</f>
        <v>EPHAD MAISON SOINS ET REPOS</v>
      </c>
      <c r="C7086" t="s">
        <v>71</v>
      </c>
    </row>
    <row r="7087" spans="1:3" x14ac:dyDescent="0.25">
      <c r="A7087" t="str">
        <f>"920028982"</f>
        <v>920028982</v>
      </c>
      <c r="B7087" t="str">
        <f>"EHPAD KORIAN L IMPERIAL"</f>
        <v>EHPAD KORIAN L IMPERIAL</v>
      </c>
      <c r="C7087" t="s">
        <v>71</v>
      </c>
    </row>
    <row r="7088" spans="1:3" x14ac:dyDescent="0.25">
      <c r="A7088" t="str">
        <f>"920029105"</f>
        <v>920029105</v>
      </c>
      <c r="B7088" t="str">
        <f>"EHPAD ORPEA LA GARENNE"</f>
        <v>EHPAD ORPEA LA GARENNE</v>
      </c>
      <c r="C7088" t="s">
        <v>71</v>
      </c>
    </row>
    <row r="7089" spans="1:3" x14ac:dyDescent="0.25">
      <c r="A7089" t="str">
        <f>"920033032"</f>
        <v>920033032</v>
      </c>
      <c r="B7089" t="str">
        <f>"EHPAD KORIAN CASTEL VOLTAIRE"</f>
        <v>EHPAD KORIAN CASTEL VOLTAIRE</v>
      </c>
      <c r="C7089" t="s">
        <v>71</v>
      </c>
    </row>
    <row r="7090" spans="1:3" x14ac:dyDescent="0.25">
      <c r="A7090" t="str">
        <f>"920300118"</f>
        <v>920300118</v>
      </c>
      <c r="B7090" t="str">
        <f>"EHPAD RESIDENCE DU CAP"</f>
        <v>EHPAD RESIDENCE DU CAP</v>
      </c>
      <c r="C7090" t="s">
        <v>71</v>
      </c>
    </row>
    <row r="7091" spans="1:3" x14ac:dyDescent="0.25">
      <c r="A7091" t="str">
        <f>"920460060"</f>
        <v>920460060</v>
      </c>
      <c r="B7091" t="str">
        <f>"EHPAD RESIDENCE LA FAIENCERIE"</f>
        <v>EHPAD RESIDENCE LA FAIENCERIE</v>
      </c>
      <c r="C7091" t="s">
        <v>71</v>
      </c>
    </row>
    <row r="7092" spans="1:3" x14ac:dyDescent="0.25">
      <c r="A7092" t="str">
        <f>"920710357"</f>
        <v>920710357</v>
      </c>
      <c r="B7092" t="str">
        <f>"EHPAD MAISON DE RETRAITE PROTESTANTE"</f>
        <v>EHPAD MAISON DE RETRAITE PROTESTANTE</v>
      </c>
      <c r="C7092" t="s">
        <v>71</v>
      </c>
    </row>
    <row r="7093" spans="1:3" x14ac:dyDescent="0.25">
      <c r="A7093" t="str">
        <f>"920710373"</f>
        <v>920710373</v>
      </c>
      <c r="B7093" t="str">
        <f>"EHPAD FERRARI"</f>
        <v>EHPAD FERRARI</v>
      </c>
      <c r="C7093" t="s">
        <v>71</v>
      </c>
    </row>
    <row r="7094" spans="1:3" x14ac:dyDescent="0.25">
      <c r="A7094" t="str">
        <f>"920710381"</f>
        <v>920710381</v>
      </c>
      <c r="B7094" t="str">
        <f>"EHPAD RESIDENCE LE PARC"</f>
        <v>EHPAD RESIDENCE LE PARC</v>
      </c>
      <c r="C7094" t="s">
        <v>71</v>
      </c>
    </row>
    <row r="7095" spans="1:3" x14ac:dyDescent="0.25">
      <c r="A7095" t="str">
        <f>"920710399"</f>
        <v>920710399</v>
      </c>
      <c r="B7095" t="str">
        <f>"EHPAD FONDATION LAMBRECHTS"</f>
        <v>EHPAD FONDATION LAMBRECHTS</v>
      </c>
      <c r="C7095" t="s">
        <v>71</v>
      </c>
    </row>
    <row r="7096" spans="1:3" x14ac:dyDescent="0.25">
      <c r="A7096" t="str">
        <f>"920710415"</f>
        <v>920710415</v>
      </c>
      <c r="B7096" t="str">
        <f>"EHPAD RESIDENCE LA CHESNAYE"</f>
        <v>EHPAD RESIDENCE LA CHESNAYE</v>
      </c>
      <c r="C7096" t="s">
        <v>71</v>
      </c>
    </row>
    <row r="7097" spans="1:3" x14ac:dyDescent="0.25">
      <c r="A7097" t="str">
        <f>"920710423"</f>
        <v>920710423</v>
      </c>
      <c r="B7097" t="str">
        <f>"EHPAD RESIDENCE LARMEROUX"</f>
        <v>EHPAD RESIDENCE LARMEROUX</v>
      </c>
      <c r="C7097" t="s">
        <v>71</v>
      </c>
    </row>
    <row r="7098" spans="1:3" x14ac:dyDescent="0.25">
      <c r="A7098" t="str">
        <f>"920710431"</f>
        <v>920710431</v>
      </c>
      <c r="B7098" t="str">
        <f>"EHPAD STE EMILIE"</f>
        <v>EHPAD STE EMILIE</v>
      </c>
      <c r="C7098" t="s">
        <v>71</v>
      </c>
    </row>
    <row r="7099" spans="1:3" x14ac:dyDescent="0.25">
      <c r="A7099" t="str">
        <f>"920710621"</f>
        <v>920710621</v>
      </c>
      <c r="B7099" t="str">
        <f>"EHPAD MAISON DE RETRAITE AULAGNIER"</f>
        <v>EHPAD MAISON DE RETRAITE AULAGNIER</v>
      </c>
      <c r="C7099" t="s">
        <v>71</v>
      </c>
    </row>
    <row r="7100" spans="1:3" x14ac:dyDescent="0.25">
      <c r="A7100" t="str">
        <f>"920710639"</f>
        <v>920710639</v>
      </c>
      <c r="B7100" t="str">
        <f>"EHPAD LES ABONDANCES"</f>
        <v>EHPAD LES ABONDANCES</v>
      </c>
      <c r="C7100" t="s">
        <v>71</v>
      </c>
    </row>
    <row r="7101" spans="1:3" x14ac:dyDescent="0.25">
      <c r="A7101" t="str">
        <f>"920710670"</f>
        <v>920710670</v>
      </c>
      <c r="B7101" t="str">
        <f>"EHPAD SUISSE REPOTEL"</f>
        <v>EHPAD SUISSE REPOTEL</v>
      </c>
      <c r="C7101" t="s">
        <v>71</v>
      </c>
    </row>
    <row r="7102" spans="1:3" x14ac:dyDescent="0.25">
      <c r="A7102" t="str">
        <f>"920710688"</f>
        <v>920710688</v>
      </c>
      <c r="B7102" t="str">
        <f>"EHPAD LASSERRE"</f>
        <v>EHPAD LASSERRE</v>
      </c>
      <c r="C7102" t="s">
        <v>71</v>
      </c>
    </row>
    <row r="7103" spans="1:3" x14ac:dyDescent="0.25">
      <c r="A7103" t="str">
        <f>"920710696"</f>
        <v>920710696</v>
      </c>
      <c r="B7103" t="str">
        <f>"EHPAD LES MARRONNIERS"</f>
        <v>EHPAD LES MARRONNIERS</v>
      </c>
      <c r="C7103" t="s">
        <v>71</v>
      </c>
    </row>
    <row r="7104" spans="1:3" x14ac:dyDescent="0.25">
      <c r="A7104" t="str">
        <f>"920710704"</f>
        <v>920710704</v>
      </c>
      <c r="B7104" t="str">
        <f>"EHPAD RESIDENCE LE CHATELET"</f>
        <v>EHPAD RESIDENCE LE CHATELET</v>
      </c>
      <c r="C7104" t="s">
        <v>71</v>
      </c>
    </row>
    <row r="7105" spans="1:3" x14ac:dyDescent="0.25">
      <c r="A7105" t="str">
        <f>"920710712"</f>
        <v>920710712</v>
      </c>
      <c r="B7105" t="str">
        <f>"EHPAD MAISON RETRAITE LEOPOLD BELLAN"</f>
        <v>EHPAD MAISON RETRAITE LEOPOLD BELLAN</v>
      </c>
      <c r="C7105" t="s">
        <v>71</v>
      </c>
    </row>
    <row r="7106" spans="1:3" x14ac:dyDescent="0.25">
      <c r="A7106" t="str">
        <f>"920710738"</f>
        <v>920710738</v>
      </c>
      <c r="B7106" t="str">
        <f>"EHPAD EMILIE DE RODAT"</f>
        <v>EHPAD EMILIE DE RODAT</v>
      </c>
      <c r="C7106" t="s">
        <v>71</v>
      </c>
    </row>
    <row r="7107" spans="1:3" x14ac:dyDescent="0.25">
      <c r="A7107" t="str">
        <f>"920710746"</f>
        <v>920710746</v>
      </c>
      <c r="B7107" t="str">
        <f>"EHPAD RESIDENCES LELEGARD"</f>
        <v>EHPAD RESIDENCES LELEGARD</v>
      </c>
      <c r="C7107" t="s">
        <v>71</v>
      </c>
    </row>
    <row r="7108" spans="1:3" x14ac:dyDescent="0.25">
      <c r="A7108" t="str">
        <f>"920710753"</f>
        <v>920710753</v>
      </c>
      <c r="B7108" t="str">
        <f>"EHPAD RESIDENCE RENAUDIN"</f>
        <v>EHPAD RESIDENCE RENAUDIN</v>
      </c>
      <c r="C7108" t="s">
        <v>71</v>
      </c>
    </row>
    <row r="7109" spans="1:3" x14ac:dyDescent="0.25">
      <c r="A7109" t="str">
        <f>"920710845"</f>
        <v>920710845</v>
      </c>
      <c r="B7109" t="str">
        <f>"EHPAD RESIDENCE MADELEINE VERDIER"</f>
        <v>EHPAD RESIDENCE MADELEINE VERDIER</v>
      </c>
      <c r="C7109" t="s">
        <v>71</v>
      </c>
    </row>
    <row r="7110" spans="1:3" x14ac:dyDescent="0.25">
      <c r="A7110" t="str">
        <f>"920710852"</f>
        <v>920710852</v>
      </c>
      <c r="B7110" t="str">
        <f>"EHPAD STE GENEVIEVE"</f>
        <v>EHPAD STE GENEVIEVE</v>
      </c>
      <c r="C7110" t="s">
        <v>71</v>
      </c>
    </row>
    <row r="7111" spans="1:3" x14ac:dyDescent="0.25">
      <c r="A7111" t="str">
        <f>"920710860"</f>
        <v>920710860</v>
      </c>
      <c r="B7111" t="str">
        <f>"EHPAD ROGER TEULLE"</f>
        <v>EHPAD ROGER TEULLE</v>
      </c>
      <c r="C7111" t="s">
        <v>71</v>
      </c>
    </row>
    <row r="7112" spans="1:3" x14ac:dyDescent="0.25">
      <c r="A7112" t="str">
        <f>"920711298"</f>
        <v>920711298</v>
      </c>
      <c r="B7112" t="str">
        <f>"EHPAD RESIDENCE STE ANNE D AURAY"</f>
        <v>EHPAD RESIDENCE STE ANNE D AURAY</v>
      </c>
      <c r="C7112" t="s">
        <v>71</v>
      </c>
    </row>
    <row r="7113" spans="1:3" x14ac:dyDescent="0.25">
      <c r="A7113" t="str">
        <f>"920711629"</f>
        <v>920711629</v>
      </c>
      <c r="B7113" t="str">
        <f>"EHPAD LA MERIDIENNE"</f>
        <v>EHPAD LA MERIDIENNE</v>
      </c>
      <c r="C7113" t="s">
        <v>71</v>
      </c>
    </row>
    <row r="7114" spans="1:3" x14ac:dyDescent="0.25">
      <c r="A7114" t="str">
        <f>"920711967"</f>
        <v>920711967</v>
      </c>
      <c r="B7114" t="str">
        <f>"EHPAD RESIDENCE REPOTEL"</f>
        <v>EHPAD RESIDENCE REPOTEL</v>
      </c>
      <c r="C7114" t="s">
        <v>71</v>
      </c>
    </row>
    <row r="7115" spans="1:3" x14ac:dyDescent="0.25">
      <c r="A7115" t="str">
        <f>"920712569"</f>
        <v>920712569</v>
      </c>
      <c r="B7115" t="str">
        <f>"EHPAD RESIDENCE SAINTE MARTHE"</f>
        <v>EHPAD RESIDENCE SAINTE MARTHE</v>
      </c>
      <c r="C7115" t="s">
        <v>71</v>
      </c>
    </row>
    <row r="7116" spans="1:3" x14ac:dyDescent="0.25">
      <c r="A7116" t="str">
        <f>"920718350"</f>
        <v>920718350</v>
      </c>
      <c r="B7116" t="str">
        <f>"EHPAD RESIDENCE SANTE GALIGNANI"</f>
        <v>EHPAD RESIDENCE SANTE GALIGNANI</v>
      </c>
      <c r="C7116" t="s">
        <v>71</v>
      </c>
    </row>
    <row r="7117" spans="1:3" x14ac:dyDescent="0.25">
      <c r="A7117" t="str">
        <f>"920800794"</f>
        <v>920800794</v>
      </c>
      <c r="B7117" t="str">
        <f>"EHPAD RESIDENCE ST JOSEPH"</f>
        <v>EHPAD RESIDENCE ST JOSEPH</v>
      </c>
      <c r="C7117" t="s">
        <v>71</v>
      </c>
    </row>
    <row r="7118" spans="1:3" x14ac:dyDescent="0.25">
      <c r="A7118" t="str">
        <f>"920800828"</f>
        <v>920800828</v>
      </c>
      <c r="B7118" t="str">
        <f>"EHPAD DE L UNION BELGE"</f>
        <v>EHPAD DE L UNION BELGE</v>
      </c>
      <c r="C7118" t="s">
        <v>71</v>
      </c>
    </row>
    <row r="7119" spans="1:3" x14ac:dyDescent="0.25">
      <c r="A7119" t="str">
        <f>"920802154"</f>
        <v>920802154</v>
      </c>
      <c r="B7119" t="str">
        <f>"EHPAD RESIDENCE SAINTE AGNES"</f>
        <v>EHPAD RESIDENCE SAINTE AGNES</v>
      </c>
      <c r="C7119" t="s">
        <v>71</v>
      </c>
    </row>
    <row r="7120" spans="1:3" x14ac:dyDescent="0.25">
      <c r="A7120" t="str">
        <f>"920802162"</f>
        <v>920802162</v>
      </c>
      <c r="B7120" t="str">
        <f>"EHPAD RESIDENCE CHAMPFLEURY"</f>
        <v>EHPAD RESIDENCE CHAMPFLEURY</v>
      </c>
      <c r="C7120" t="s">
        <v>71</v>
      </c>
    </row>
    <row r="7121" spans="1:3" x14ac:dyDescent="0.25">
      <c r="A7121" t="str">
        <f>"920803103"</f>
        <v>920803103</v>
      </c>
      <c r="B7121" t="str">
        <f>"EHPAD VILLA CONCORDE"</f>
        <v>EHPAD VILLA CONCORDE</v>
      </c>
      <c r="C7121" t="s">
        <v>71</v>
      </c>
    </row>
    <row r="7122" spans="1:3" x14ac:dyDescent="0.25">
      <c r="A7122" t="str">
        <f>"920803301"</f>
        <v>920803301</v>
      </c>
      <c r="B7122" t="str">
        <f>"EHPAD RESIDENCE LA TOUR D AUVERGNE"</f>
        <v>EHPAD RESIDENCE LA TOUR D AUVERGNE</v>
      </c>
      <c r="C7122" t="s">
        <v>71</v>
      </c>
    </row>
    <row r="7123" spans="1:3" x14ac:dyDescent="0.25">
      <c r="A7123" t="str">
        <f>"920803467"</f>
        <v>920803467</v>
      </c>
      <c r="B7123" t="str">
        <f>"EHPAD RESID LES TERRASSES DE MEUDON"</f>
        <v>EHPAD RESID LES TERRASSES DE MEUDON</v>
      </c>
      <c r="C7123" t="s">
        <v>71</v>
      </c>
    </row>
    <row r="7124" spans="1:3" x14ac:dyDescent="0.25">
      <c r="A7124" t="str">
        <f>"920803681"</f>
        <v>920803681</v>
      </c>
      <c r="B7124" t="str">
        <f>"EHPAD JULIA STELL"</f>
        <v>EHPAD JULIA STELL</v>
      </c>
      <c r="C7124" t="s">
        <v>71</v>
      </c>
    </row>
    <row r="7125" spans="1:3" x14ac:dyDescent="0.25">
      <c r="A7125" t="str">
        <f>"920803699"</f>
        <v>920803699</v>
      </c>
      <c r="B7125" t="str">
        <f>"EHPAD COGNACQ JAY"</f>
        <v>EHPAD COGNACQ JAY</v>
      </c>
      <c r="C7125" t="s">
        <v>71</v>
      </c>
    </row>
    <row r="7126" spans="1:3" x14ac:dyDescent="0.25">
      <c r="A7126" t="str">
        <f>"920803855"</f>
        <v>920803855</v>
      </c>
      <c r="B7126" t="str">
        <f>"EHPAD MOLIERE"</f>
        <v>EHPAD MOLIERE</v>
      </c>
      <c r="C7126" t="s">
        <v>71</v>
      </c>
    </row>
    <row r="7127" spans="1:3" x14ac:dyDescent="0.25">
      <c r="A7127" t="str">
        <f>"920803921"</f>
        <v>920803921</v>
      </c>
      <c r="B7127" t="str">
        <f>"EHPAD LA ROSERAIE"</f>
        <v>EHPAD LA ROSERAIE</v>
      </c>
      <c r="C7127" t="s">
        <v>71</v>
      </c>
    </row>
    <row r="7128" spans="1:3" x14ac:dyDescent="0.25">
      <c r="A7128" t="str">
        <f>"920803996"</f>
        <v>920803996</v>
      </c>
      <c r="B7128" t="str">
        <f>"EHPAD VILLA BEAUSOLEIL"</f>
        <v>EHPAD VILLA BEAUSOLEIL</v>
      </c>
      <c r="C7128" t="s">
        <v>71</v>
      </c>
    </row>
    <row r="7129" spans="1:3" x14ac:dyDescent="0.25">
      <c r="A7129" t="str">
        <f>"920804028"</f>
        <v>920804028</v>
      </c>
      <c r="B7129" t="str">
        <f>"EHPAD KORIAN SAINT CHARLES"</f>
        <v>EHPAD KORIAN SAINT CHARLES</v>
      </c>
      <c r="C7129" t="s">
        <v>71</v>
      </c>
    </row>
    <row r="7130" spans="1:3" x14ac:dyDescent="0.25">
      <c r="A7130" t="str">
        <f>"920804077"</f>
        <v>920804077</v>
      </c>
      <c r="B7130" t="str">
        <f>"EHPAD DU CHI DE SEVRES"</f>
        <v>EHPAD DU CHI DE SEVRES</v>
      </c>
      <c r="C7130" t="s">
        <v>71</v>
      </c>
    </row>
    <row r="7131" spans="1:3" x14ac:dyDescent="0.25">
      <c r="A7131" t="str">
        <f>"920804887"</f>
        <v>920804887</v>
      </c>
      <c r="B7131" t="str">
        <f>"EHPAD VILLA CAROLINE"</f>
        <v>EHPAD VILLA CAROLINE</v>
      </c>
      <c r="C7131" t="s">
        <v>71</v>
      </c>
    </row>
    <row r="7132" spans="1:3" x14ac:dyDescent="0.25">
      <c r="A7132" t="str">
        <f>"920805025"</f>
        <v>920805025</v>
      </c>
      <c r="B7132" t="str">
        <f>"EHPAD RESIDENCE DU ROUVRAY"</f>
        <v>EHPAD RESIDENCE DU ROUVRAY</v>
      </c>
      <c r="C7132" t="s">
        <v>71</v>
      </c>
    </row>
    <row r="7133" spans="1:3" x14ac:dyDescent="0.25">
      <c r="A7133" t="str">
        <f>"920807468"</f>
        <v>920807468</v>
      </c>
      <c r="B7133" t="str">
        <f>"EHPAD LES CHENETS"</f>
        <v>EHPAD LES CHENETS</v>
      </c>
      <c r="C7133" t="s">
        <v>71</v>
      </c>
    </row>
    <row r="7134" spans="1:3" x14ac:dyDescent="0.25">
      <c r="A7134" t="str">
        <f>"920808508"</f>
        <v>920808508</v>
      </c>
      <c r="B7134" t="str">
        <f>"EHPAD NADAR DE LA PAGERIE"</f>
        <v>EHPAD NADAR DE LA PAGERIE</v>
      </c>
      <c r="C7134" t="s">
        <v>71</v>
      </c>
    </row>
    <row r="7135" spans="1:3" x14ac:dyDescent="0.25">
      <c r="A7135" t="str">
        <f>"920809803"</f>
        <v>920809803</v>
      </c>
      <c r="B7135" t="str">
        <f>"EHPAD CASH DE NANTERRE"</f>
        <v>EHPAD CASH DE NANTERRE</v>
      </c>
      <c r="C7135" t="s">
        <v>71</v>
      </c>
    </row>
    <row r="7136" spans="1:3" x14ac:dyDescent="0.25">
      <c r="A7136" t="str">
        <f>"920809811"</f>
        <v>920809811</v>
      </c>
      <c r="B7136" t="str">
        <f>"EHPAD MR DE LA FONDATION ROGUET"</f>
        <v>EHPAD MR DE LA FONDATION ROGUET</v>
      </c>
      <c r="C7136" t="s">
        <v>71</v>
      </c>
    </row>
    <row r="7137" spans="1:3" x14ac:dyDescent="0.25">
      <c r="A7137" t="str">
        <f>"920810470"</f>
        <v>920810470</v>
      </c>
      <c r="B7137" t="str">
        <f>"EHPAD RESIDENCE LA VILLA DES SOURCES"</f>
        <v>EHPAD RESIDENCE LA VILLA DES SOURCES</v>
      </c>
      <c r="C7137" t="s">
        <v>71</v>
      </c>
    </row>
    <row r="7138" spans="1:3" x14ac:dyDescent="0.25">
      <c r="A7138" t="str">
        <f>"920810942"</f>
        <v>920810942</v>
      </c>
      <c r="B7138" t="str">
        <f>"EHPAD RESIDENCE LANNELONGUE"</f>
        <v>EHPAD RESIDENCE LANNELONGUE</v>
      </c>
      <c r="C7138" t="s">
        <v>71</v>
      </c>
    </row>
    <row r="7139" spans="1:3" x14ac:dyDescent="0.25">
      <c r="A7139" t="str">
        <f>"920811304"</f>
        <v>920811304</v>
      </c>
      <c r="B7139" t="str">
        <f>"EHPAD RESIDENCE LA CHARTRAINE"</f>
        <v>EHPAD RESIDENCE LA CHARTRAINE</v>
      </c>
      <c r="C7139" t="s">
        <v>71</v>
      </c>
    </row>
    <row r="7140" spans="1:3" x14ac:dyDescent="0.25">
      <c r="A7140" t="str">
        <f>"920811783"</f>
        <v>920811783</v>
      </c>
      <c r="B7140" t="str">
        <f>"EHPAD LES VIGNES DE SURESNES"</f>
        <v>EHPAD LES VIGNES DE SURESNES</v>
      </c>
      <c r="C7140" t="s">
        <v>71</v>
      </c>
    </row>
    <row r="7141" spans="1:3" x14ac:dyDescent="0.25">
      <c r="A7141" t="str">
        <f>"920812047"</f>
        <v>920812047</v>
      </c>
      <c r="B7141" t="str">
        <f>"EHPAD RESIDENCE THEMIS JEAN ROSTAND"</f>
        <v>EHPAD RESIDENCE THEMIS JEAN ROSTAND</v>
      </c>
      <c r="C7141" t="s">
        <v>71</v>
      </c>
    </row>
    <row r="7142" spans="1:3" x14ac:dyDescent="0.25">
      <c r="A7142" t="str">
        <f>"920812062"</f>
        <v>920812062</v>
      </c>
      <c r="B7142" t="str">
        <f>"EHPAD LA VILLA  D EPIDAURE"</f>
        <v>EHPAD LA VILLA  D EPIDAURE</v>
      </c>
      <c r="C7142" t="s">
        <v>71</v>
      </c>
    </row>
    <row r="7143" spans="1:3" x14ac:dyDescent="0.25">
      <c r="A7143" t="str">
        <f>"920812088"</f>
        <v>920812088</v>
      </c>
      <c r="B7143" t="str">
        <f>"EHPAD RESIDENCE LE SEQUOIA"</f>
        <v>EHPAD RESIDENCE LE SEQUOIA</v>
      </c>
      <c r="C7143" t="s">
        <v>71</v>
      </c>
    </row>
    <row r="7144" spans="1:3" x14ac:dyDescent="0.25">
      <c r="A7144" t="str">
        <f>"920813011"</f>
        <v>920813011</v>
      </c>
      <c r="B7144" t="str">
        <f>"EHPAD RESIDENCE SAINTE LUCIE"</f>
        <v>EHPAD RESIDENCE SAINTE LUCIE</v>
      </c>
      <c r="C7144" t="s">
        <v>71</v>
      </c>
    </row>
    <row r="7145" spans="1:3" x14ac:dyDescent="0.25">
      <c r="A7145" t="str">
        <f>"920813094"</f>
        <v>920813094</v>
      </c>
      <c r="B7145" t="str">
        <f>"EHPAD KORIAN LES TYBILLES"</f>
        <v>EHPAD KORIAN LES TYBILLES</v>
      </c>
      <c r="C7145" t="s">
        <v>71</v>
      </c>
    </row>
    <row r="7146" spans="1:3" x14ac:dyDescent="0.25">
      <c r="A7146" t="str">
        <f>"920813797"</f>
        <v>920813797</v>
      </c>
      <c r="B7146" t="str">
        <f>"EHPAD KORIAN VILLA IMPERATRICE"</f>
        <v>EHPAD KORIAN VILLA IMPERATRICE</v>
      </c>
      <c r="C7146" t="s">
        <v>71</v>
      </c>
    </row>
    <row r="7147" spans="1:3" x14ac:dyDescent="0.25">
      <c r="A7147" t="str">
        <f>"920814399"</f>
        <v>920814399</v>
      </c>
      <c r="B7147" t="str">
        <f>"EHPAD RESIDENCE ARCADE"</f>
        <v>EHPAD RESIDENCE ARCADE</v>
      </c>
      <c r="C7147" t="s">
        <v>71</v>
      </c>
    </row>
    <row r="7148" spans="1:3" x14ac:dyDescent="0.25">
      <c r="A7148" t="str">
        <f>"920814522"</f>
        <v>920814522</v>
      </c>
      <c r="B7148" t="str">
        <f>"EHPAD RESIDENCE VOLTAIRE"</f>
        <v>EHPAD RESIDENCE VOLTAIRE</v>
      </c>
      <c r="C7148" t="s">
        <v>71</v>
      </c>
    </row>
    <row r="7149" spans="1:3" x14ac:dyDescent="0.25">
      <c r="A7149" t="str">
        <f>"920814621"</f>
        <v>920814621</v>
      </c>
      <c r="B7149" t="str">
        <f>"EHPAD RESIDENCE ISIS"</f>
        <v>EHPAD RESIDENCE ISIS</v>
      </c>
      <c r="C7149" t="s">
        <v>71</v>
      </c>
    </row>
    <row r="7150" spans="1:3" x14ac:dyDescent="0.25">
      <c r="A7150" t="str">
        <f>"920814712"</f>
        <v>920814712</v>
      </c>
      <c r="B7150" t="str">
        <f>"EHPAD RESIDENCE LES MATHURINS"</f>
        <v>EHPAD RESIDENCE LES MATHURINS</v>
      </c>
      <c r="C7150" t="s">
        <v>71</v>
      </c>
    </row>
    <row r="7151" spans="1:3" x14ac:dyDescent="0.25">
      <c r="A7151" t="str">
        <f>"920815396"</f>
        <v>920815396</v>
      </c>
      <c r="B7151" t="str">
        <f>"EHPAD RESIDENCE ESTEREL"</f>
        <v>EHPAD RESIDENCE ESTEREL</v>
      </c>
      <c r="C7151" t="s">
        <v>71</v>
      </c>
    </row>
    <row r="7152" spans="1:3" x14ac:dyDescent="0.25">
      <c r="A7152" t="str">
        <f>"920815610"</f>
        <v>920815610</v>
      </c>
      <c r="B7152" t="str">
        <f>"EHPAD RESIDENCE FONTAINE"</f>
        <v>EHPAD RESIDENCE FONTAINE</v>
      </c>
      <c r="C7152" t="s">
        <v>71</v>
      </c>
    </row>
    <row r="7153" spans="1:3" x14ac:dyDescent="0.25">
      <c r="A7153" t="str">
        <f>"920815750"</f>
        <v>920815750</v>
      </c>
      <c r="B7153" t="str">
        <f>"EHPAD VILLA GARLANDE"</f>
        <v>EHPAD VILLA GARLANDE</v>
      </c>
      <c r="C7153" t="s">
        <v>71</v>
      </c>
    </row>
    <row r="7154" spans="1:3" x14ac:dyDescent="0.25">
      <c r="A7154" t="str">
        <f>"920816436"</f>
        <v>920816436</v>
      </c>
      <c r="B7154" t="str">
        <f>"EHPAD KORIAN FLORIAN CARNOT"</f>
        <v>EHPAD KORIAN FLORIAN CARNOT</v>
      </c>
      <c r="C7154" t="s">
        <v>71</v>
      </c>
    </row>
    <row r="7155" spans="1:3" x14ac:dyDescent="0.25">
      <c r="A7155" t="str">
        <f>"930002985"</f>
        <v>930002985</v>
      </c>
      <c r="B7155" t="str">
        <f>"EHPAD LES JARDINS DE LONGUIOLLES"</f>
        <v>EHPAD LES JARDINS DE LONGUIOLLES</v>
      </c>
      <c r="C7155" t="s">
        <v>71</v>
      </c>
    </row>
    <row r="7156" spans="1:3" x14ac:dyDescent="0.25">
      <c r="A7156" t="str">
        <f>"930003397"</f>
        <v>930003397</v>
      </c>
      <c r="B7156" t="str">
        <f>"EHPAD RESIDENCE HOVIA"</f>
        <v>EHPAD RESIDENCE HOVIA</v>
      </c>
      <c r="C7156" t="s">
        <v>71</v>
      </c>
    </row>
    <row r="7157" spans="1:3" x14ac:dyDescent="0.25">
      <c r="A7157" t="str">
        <f>"930003728"</f>
        <v>930003728</v>
      </c>
      <c r="B7157" t="str">
        <f>"EHPAD RESIDENCE ORPEA LA CHANTERELLE"</f>
        <v>EHPAD RESIDENCE ORPEA LA CHANTERELLE</v>
      </c>
      <c r="C7157" t="s">
        <v>71</v>
      </c>
    </row>
    <row r="7158" spans="1:3" x14ac:dyDescent="0.25">
      <c r="A7158" t="str">
        <f>"930007109"</f>
        <v>930007109</v>
      </c>
      <c r="B7158" t="str">
        <f>"EHPAD LA COLOMBE"</f>
        <v>EHPAD LA COLOMBE</v>
      </c>
      <c r="C7158" t="s">
        <v>71</v>
      </c>
    </row>
    <row r="7159" spans="1:3" x14ac:dyDescent="0.25">
      <c r="A7159" t="str">
        <f>"930015359"</f>
        <v>930015359</v>
      </c>
      <c r="B7159" t="str">
        <f>"EHPAD RESIDENCE JACQUES OFFENBACH"</f>
        <v>EHPAD RESIDENCE JACQUES OFFENBACH</v>
      </c>
      <c r="C7159" t="s">
        <v>71</v>
      </c>
    </row>
    <row r="7160" spans="1:3" x14ac:dyDescent="0.25">
      <c r="A7160" t="str">
        <f>"930016951"</f>
        <v>930016951</v>
      </c>
      <c r="B7160" t="str">
        <f>"EHPAD RESIDENCE D EGLANTINE"</f>
        <v>EHPAD RESIDENCE D EGLANTINE</v>
      </c>
      <c r="C7160" t="s">
        <v>71</v>
      </c>
    </row>
    <row r="7161" spans="1:3" x14ac:dyDescent="0.25">
      <c r="A7161" t="str">
        <f>"930018858"</f>
        <v>930018858</v>
      </c>
      <c r="B7161" t="str">
        <f>"EHPAD DIANE BENVENUTI ROTHSCHILD"</f>
        <v>EHPAD DIANE BENVENUTI ROTHSCHILD</v>
      </c>
      <c r="C7161" t="s">
        <v>71</v>
      </c>
    </row>
    <row r="7162" spans="1:3" x14ac:dyDescent="0.25">
      <c r="A7162" t="str">
        <f>"930018932"</f>
        <v>930018932</v>
      </c>
      <c r="B7162" t="str">
        <f>"EHPAD LES JARDINS D EPINAY"</f>
        <v>EHPAD LES JARDINS D EPINAY</v>
      </c>
      <c r="C7162" t="s">
        <v>71</v>
      </c>
    </row>
    <row r="7163" spans="1:3" x14ac:dyDescent="0.25">
      <c r="A7163" t="str">
        <f>"930019120"</f>
        <v>930019120</v>
      </c>
      <c r="B7163" t="str">
        <f>"EHPAD RESIDENCE LES JARDINS DES LILAS"</f>
        <v>EHPAD RESIDENCE LES JARDINS DES LILAS</v>
      </c>
      <c r="C7163" t="s">
        <v>71</v>
      </c>
    </row>
    <row r="7164" spans="1:3" x14ac:dyDescent="0.25">
      <c r="A7164" t="str">
        <f>"930019153"</f>
        <v>930019153</v>
      </c>
      <c r="B7164" t="str">
        <f>"EHPAD LA MAISON DU LAURIER NOBLE"</f>
        <v>EHPAD LA MAISON DU LAURIER NOBLE</v>
      </c>
      <c r="C7164" t="s">
        <v>71</v>
      </c>
    </row>
    <row r="7165" spans="1:3" x14ac:dyDescent="0.25">
      <c r="A7165" t="str">
        <f>"930019344"</f>
        <v>930019344</v>
      </c>
      <c r="B7165" t="str">
        <f>"EHPAD RESIDENCE LES QUATRE SAISONS"</f>
        <v>EHPAD RESIDENCE LES QUATRE SAISONS</v>
      </c>
      <c r="C7165" t="s">
        <v>71</v>
      </c>
    </row>
    <row r="7166" spans="1:3" x14ac:dyDescent="0.25">
      <c r="A7166" t="str">
        <f>"930019369"</f>
        <v>930019369</v>
      </c>
      <c r="B7166" t="str">
        <f>"EHPAD LA COURNEUVE JEAN VIOLLET"</f>
        <v>EHPAD LA COURNEUVE JEAN VIOLLET</v>
      </c>
      <c r="C7166" t="s">
        <v>71</v>
      </c>
    </row>
    <row r="7167" spans="1:3" x14ac:dyDescent="0.25">
      <c r="A7167" t="str">
        <f>"930019468"</f>
        <v>930019468</v>
      </c>
      <c r="B7167" t="str">
        <f>"EHPAD LA MAISON DU SOLEIL"</f>
        <v>EHPAD LA MAISON DU SOLEIL</v>
      </c>
      <c r="C7167" t="s">
        <v>71</v>
      </c>
    </row>
    <row r="7168" spans="1:3" x14ac:dyDescent="0.25">
      <c r="A7168" t="str">
        <f>"930020078"</f>
        <v>930020078</v>
      </c>
      <c r="B7168" t="str">
        <f>"EHPAD SOLEMNES"</f>
        <v>EHPAD SOLEMNES</v>
      </c>
      <c r="C7168" t="s">
        <v>71</v>
      </c>
    </row>
    <row r="7169" spans="1:3" x14ac:dyDescent="0.25">
      <c r="A7169" t="str">
        <f>"930020904"</f>
        <v>930020904</v>
      </c>
      <c r="B7169" t="str">
        <f>"EHPAD LES JARDINS DE PANTIN"</f>
        <v>EHPAD LES JARDINS DE PANTIN</v>
      </c>
      <c r="C7169" t="s">
        <v>71</v>
      </c>
    </row>
    <row r="7170" spans="1:3" x14ac:dyDescent="0.25">
      <c r="A7170" t="str">
        <f>"930021043"</f>
        <v>930021043</v>
      </c>
      <c r="B7170" t="str">
        <f>"EHPAD LA MAISON DES LUMIERES"</f>
        <v>EHPAD LA MAISON DES LUMIERES</v>
      </c>
      <c r="C7170" t="s">
        <v>71</v>
      </c>
    </row>
    <row r="7171" spans="1:3" x14ac:dyDescent="0.25">
      <c r="A7171" t="str">
        <f>"930021068"</f>
        <v>930021068</v>
      </c>
      <c r="B7171" t="str">
        <f>"EHPAD LA MAISON LA VALLEE DES FLEURS"</f>
        <v>EHPAD LA MAISON LA VALLEE DES FLEURS</v>
      </c>
      <c r="C7171" t="s">
        <v>71</v>
      </c>
    </row>
    <row r="7172" spans="1:3" x14ac:dyDescent="0.25">
      <c r="A7172" t="str">
        <f>"930021084"</f>
        <v>930021084</v>
      </c>
      <c r="B7172" t="str">
        <f>"EHPAD HECTOR BERLIOZ"</f>
        <v>EHPAD HECTOR BERLIOZ</v>
      </c>
      <c r="C7172" t="s">
        <v>71</v>
      </c>
    </row>
    <row r="7173" spans="1:3" x14ac:dyDescent="0.25">
      <c r="A7173" t="str">
        <f>"930021308"</f>
        <v>930021308</v>
      </c>
      <c r="B7173" t="str">
        <f>"EHPAD LA MAISON DE L EGLANTIER"</f>
        <v>EHPAD LA MAISON DE L EGLANTIER</v>
      </c>
      <c r="C7173" t="s">
        <v>71</v>
      </c>
    </row>
    <row r="7174" spans="1:3" x14ac:dyDescent="0.25">
      <c r="A7174" t="str">
        <f>"930021316"</f>
        <v>930021316</v>
      </c>
      <c r="B7174" t="str">
        <f>"EHPAD LA MAISON DES GLYCINES"</f>
        <v>EHPAD LA MAISON DES GLYCINES</v>
      </c>
      <c r="C7174" t="s">
        <v>71</v>
      </c>
    </row>
    <row r="7175" spans="1:3" x14ac:dyDescent="0.25">
      <c r="A7175" t="str">
        <f>"930021498"</f>
        <v>930021498</v>
      </c>
      <c r="B7175" t="str">
        <f>"EHPAD DU GHI LE RAINCY MONTFERMEIL"</f>
        <v>EHPAD DU GHI LE RAINCY MONTFERMEIL</v>
      </c>
      <c r="C7175" t="s">
        <v>71</v>
      </c>
    </row>
    <row r="7176" spans="1:3" x14ac:dyDescent="0.25">
      <c r="A7176" t="str">
        <f>"930021514"</f>
        <v>930021514</v>
      </c>
      <c r="B7176" t="str">
        <f>"EHPAD LA MAISON DES VERGERS"</f>
        <v>EHPAD LA MAISON DES VERGERS</v>
      </c>
      <c r="C7176" t="s">
        <v>71</v>
      </c>
    </row>
    <row r="7177" spans="1:3" x14ac:dyDescent="0.25">
      <c r="A7177" t="str">
        <f>"930021522"</f>
        <v>930021522</v>
      </c>
      <c r="B7177" t="str">
        <f>"EHPAD KORIAN LES CEDRES"</f>
        <v>EHPAD KORIAN LES CEDRES</v>
      </c>
      <c r="C7177" t="s">
        <v>71</v>
      </c>
    </row>
    <row r="7178" spans="1:3" x14ac:dyDescent="0.25">
      <c r="A7178" t="str">
        <f>"930021571"</f>
        <v>930021571</v>
      </c>
      <c r="B7178" t="str">
        <f>"EHPAD RESIDENCE MARIE"</f>
        <v>EHPAD RESIDENCE MARIE</v>
      </c>
      <c r="C7178" t="s">
        <v>71</v>
      </c>
    </row>
    <row r="7179" spans="1:3" x14ac:dyDescent="0.25">
      <c r="A7179" t="str">
        <f>"930021597"</f>
        <v>930021597</v>
      </c>
      <c r="B7179" t="str">
        <f>"EHPAD RESIDENCE PETRONILLE"</f>
        <v>EHPAD RESIDENCE PETRONILLE</v>
      </c>
      <c r="C7179" t="s">
        <v>71</v>
      </c>
    </row>
    <row r="7180" spans="1:3" x14ac:dyDescent="0.25">
      <c r="A7180" t="str">
        <f>"930023056"</f>
        <v>930023056</v>
      </c>
      <c r="B7180" t="str">
        <f>"EHPAD RESIDENCE EMILE ZOLA"</f>
        <v>EHPAD RESIDENCE EMILE ZOLA</v>
      </c>
      <c r="C7180" t="s">
        <v>71</v>
      </c>
    </row>
    <row r="7181" spans="1:3" x14ac:dyDescent="0.25">
      <c r="A7181" t="str">
        <f>"930023148"</f>
        <v>930023148</v>
      </c>
      <c r="B7181" t="str">
        <f>"EHPAD LES OPALINES"</f>
        <v>EHPAD LES OPALINES</v>
      </c>
      <c r="C7181" t="s">
        <v>71</v>
      </c>
    </row>
    <row r="7182" spans="1:3" x14ac:dyDescent="0.25">
      <c r="A7182" t="str">
        <f>"930023155"</f>
        <v>930023155</v>
      </c>
      <c r="B7182" t="str">
        <f>"EHPAD KORIAN LAURIERS DE PLAISANCE"</f>
        <v>EHPAD KORIAN LAURIERS DE PLAISANCE</v>
      </c>
      <c r="C7182" t="s">
        <v>71</v>
      </c>
    </row>
    <row r="7183" spans="1:3" x14ac:dyDescent="0.25">
      <c r="A7183" t="str">
        <f>"930023163"</f>
        <v>930023163</v>
      </c>
      <c r="B7183" t="str">
        <f>"EHPAD VILLA BEAUSOLEIL DRANCY"</f>
        <v>EHPAD VILLA BEAUSOLEIL DRANCY</v>
      </c>
      <c r="C7183" t="s">
        <v>71</v>
      </c>
    </row>
    <row r="7184" spans="1:3" x14ac:dyDescent="0.25">
      <c r="A7184" t="str">
        <f>"930023205"</f>
        <v>930023205</v>
      </c>
      <c r="B7184" t="str">
        <f>"EHPAD LE CLOS DES PEUPLIERS"</f>
        <v>EHPAD LE CLOS DES PEUPLIERS</v>
      </c>
      <c r="C7184" t="s">
        <v>71</v>
      </c>
    </row>
    <row r="7185" spans="1:3" x14ac:dyDescent="0.25">
      <c r="A7185" t="str">
        <f>"930023700"</f>
        <v>930023700</v>
      </c>
      <c r="B7185" t="str">
        <f>"EHPAD RESIDENCE VICTOR HUGO"</f>
        <v>EHPAD RESIDENCE VICTOR HUGO</v>
      </c>
      <c r="C7185" t="s">
        <v>71</v>
      </c>
    </row>
    <row r="7186" spans="1:3" x14ac:dyDescent="0.25">
      <c r="A7186" t="str">
        <f>"930023965"</f>
        <v>930023965</v>
      </c>
      <c r="B7186" t="str">
        <f>"EHPAD LES INTEMPORELLES"</f>
        <v>EHPAD LES INTEMPORELLES</v>
      </c>
      <c r="C7186" t="s">
        <v>71</v>
      </c>
    </row>
    <row r="7187" spans="1:3" x14ac:dyDescent="0.25">
      <c r="A7187" t="str">
        <f>"930024120"</f>
        <v>930024120</v>
      </c>
      <c r="B7187" t="str">
        <f>"EHPAD FAMILI SANTE COUBRON"</f>
        <v>EHPAD FAMILI SANTE COUBRON</v>
      </c>
      <c r="C7187" t="s">
        <v>71</v>
      </c>
    </row>
    <row r="7188" spans="1:3" x14ac:dyDescent="0.25">
      <c r="A7188" t="str">
        <f>"930024138"</f>
        <v>930024138</v>
      </c>
      <c r="B7188" t="str">
        <f>"EHPAD CAMILLE SAINT SAENS"</f>
        <v>EHPAD CAMILLE SAINT SAENS</v>
      </c>
      <c r="C7188" t="s">
        <v>71</v>
      </c>
    </row>
    <row r="7189" spans="1:3" x14ac:dyDescent="0.25">
      <c r="A7189" t="str">
        <f>"930025028"</f>
        <v>930025028</v>
      </c>
      <c r="B7189" t="str">
        <f>"EHPAD RESIDENCE ORPEA SISE LES LILAS"</f>
        <v>EHPAD RESIDENCE ORPEA SISE LES LILAS</v>
      </c>
      <c r="C7189" t="s">
        <v>71</v>
      </c>
    </row>
    <row r="7190" spans="1:3" x14ac:dyDescent="0.25">
      <c r="A7190" t="str">
        <f>"930025960"</f>
        <v>930025960</v>
      </c>
      <c r="B7190" t="str">
        <f>"EHPAD RESIDENCE LES MURS A PECHES"</f>
        <v>EHPAD RESIDENCE LES MURS A PECHES</v>
      </c>
      <c r="C7190" t="s">
        <v>71</v>
      </c>
    </row>
    <row r="7191" spans="1:3" x14ac:dyDescent="0.25">
      <c r="A7191" t="str">
        <f>"930027073"</f>
        <v>930027073</v>
      </c>
      <c r="B7191" t="str">
        <f>"EHPAD FONDATION LEOPOLD BELLAN"</f>
        <v>EHPAD FONDATION LEOPOLD BELLAN</v>
      </c>
      <c r="C7191" t="s">
        <v>71</v>
      </c>
    </row>
    <row r="7192" spans="1:3" x14ac:dyDescent="0.25">
      <c r="A7192" t="str">
        <f>"930420013"</f>
        <v>930420013</v>
      </c>
      <c r="B7192" t="str">
        <f>"EHPAD L OASIS"</f>
        <v>EHPAD L OASIS</v>
      </c>
      <c r="C7192" t="s">
        <v>71</v>
      </c>
    </row>
    <row r="7193" spans="1:3" x14ac:dyDescent="0.25">
      <c r="A7193" t="str">
        <f>"930460019"</f>
        <v>930460019</v>
      </c>
      <c r="B7193" t="str">
        <f>"EHPAD LA CERISAIE"</f>
        <v>EHPAD LA CERISAIE</v>
      </c>
      <c r="C7193" t="s">
        <v>71</v>
      </c>
    </row>
    <row r="7194" spans="1:3" x14ac:dyDescent="0.25">
      <c r="A7194" t="str">
        <f>"930460050"</f>
        <v>930460050</v>
      </c>
      <c r="B7194" t="str">
        <f>"EHPAD EMILE GERARD"</f>
        <v>EHPAD EMILE GERARD</v>
      </c>
      <c r="C7194" t="s">
        <v>71</v>
      </c>
    </row>
    <row r="7195" spans="1:3" x14ac:dyDescent="0.25">
      <c r="A7195" t="str">
        <f>"930460068"</f>
        <v>930460068</v>
      </c>
      <c r="B7195" t="str">
        <f>"EHPAD MONMOUSSEAU"</f>
        <v>EHPAD MONMOUSSEAU</v>
      </c>
      <c r="C7195" t="s">
        <v>71</v>
      </c>
    </row>
    <row r="7196" spans="1:3" x14ac:dyDescent="0.25">
      <c r="A7196" t="str">
        <f>"930460084"</f>
        <v>930460084</v>
      </c>
      <c r="B7196" t="str">
        <f>"EHPAD CONSTANCE MAZIER"</f>
        <v>EHPAD CONSTANCE MAZIER</v>
      </c>
      <c r="C7196" t="s">
        <v>71</v>
      </c>
    </row>
    <row r="7197" spans="1:3" x14ac:dyDescent="0.25">
      <c r="A7197" t="str">
        <f>"930460092"</f>
        <v>930460092</v>
      </c>
      <c r="B7197" t="str">
        <f>"EHPAD SAINT JOSEPH"</f>
        <v>EHPAD SAINT JOSEPH</v>
      </c>
      <c r="C7197" t="s">
        <v>71</v>
      </c>
    </row>
    <row r="7198" spans="1:3" x14ac:dyDescent="0.25">
      <c r="A7198" t="str">
        <f>"930460100"</f>
        <v>930460100</v>
      </c>
      <c r="B7198" t="str">
        <f>"EHPAD SAINTE MARTHE"</f>
        <v>EHPAD SAINTE MARTHE</v>
      </c>
      <c r="C7198" t="s">
        <v>71</v>
      </c>
    </row>
    <row r="7199" spans="1:3" x14ac:dyDescent="0.25">
      <c r="A7199" t="str">
        <f>"930460118"</f>
        <v>930460118</v>
      </c>
      <c r="B7199" t="str">
        <f>"EHPAD ST ANTOINE DE PADOUE"</f>
        <v>EHPAD ST ANTOINE DE PADOUE</v>
      </c>
      <c r="C7199" t="s">
        <v>71</v>
      </c>
    </row>
    <row r="7200" spans="1:3" x14ac:dyDescent="0.25">
      <c r="A7200" t="str">
        <f>"930700208"</f>
        <v>930700208</v>
      </c>
      <c r="B7200" t="str">
        <f>"EHPAD LES FLORALIES"</f>
        <v>EHPAD LES FLORALIES</v>
      </c>
      <c r="C7200" t="s">
        <v>71</v>
      </c>
    </row>
    <row r="7201" spans="1:3" x14ac:dyDescent="0.25">
      <c r="A7201" t="str">
        <f>"930700265"</f>
        <v>930700265</v>
      </c>
      <c r="B7201" t="str">
        <f>"EHPAD LUMIERES D AUTOMNE"</f>
        <v>EHPAD LUMIERES D AUTOMNE</v>
      </c>
      <c r="C7201" t="s">
        <v>71</v>
      </c>
    </row>
    <row r="7202" spans="1:3" x14ac:dyDescent="0.25">
      <c r="A7202" t="str">
        <f>"930700315"</f>
        <v>930700315</v>
      </c>
      <c r="B7202" t="str">
        <f>"EHPAD RESIDENCE ARTHUR GROUSSIER"</f>
        <v>EHPAD RESIDENCE ARTHUR GROUSSIER</v>
      </c>
      <c r="C7202" t="s">
        <v>71</v>
      </c>
    </row>
    <row r="7203" spans="1:3" x14ac:dyDescent="0.25">
      <c r="A7203" t="str">
        <f>"930701586"</f>
        <v>930701586</v>
      </c>
      <c r="B7203" t="str">
        <f>"EHPAD LA ROSERAIE"</f>
        <v>EHPAD LA ROSERAIE</v>
      </c>
      <c r="C7203" t="s">
        <v>71</v>
      </c>
    </row>
    <row r="7204" spans="1:3" x14ac:dyDescent="0.25">
      <c r="A7204" t="str">
        <f>"930701834"</f>
        <v>930701834</v>
      </c>
      <c r="B7204" t="str">
        <f>"EHPAD LES JARDINS D ASTREE"</f>
        <v>EHPAD LES JARDINS D ASTREE</v>
      </c>
      <c r="C7204" t="s">
        <v>71</v>
      </c>
    </row>
    <row r="7205" spans="1:3" x14ac:dyDescent="0.25">
      <c r="A7205" t="str">
        <f>"930702089"</f>
        <v>930702089</v>
      </c>
      <c r="B7205" t="str">
        <f>"EHPAD LA SEIGNEURIE"</f>
        <v>EHPAD LA SEIGNEURIE</v>
      </c>
      <c r="C7205" t="s">
        <v>71</v>
      </c>
    </row>
    <row r="7206" spans="1:3" x14ac:dyDescent="0.25">
      <c r="A7206" t="str">
        <f>"930703012"</f>
        <v>930703012</v>
      </c>
      <c r="B7206" t="str">
        <f>"EHPAD KORIAN MARISOL"</f>
        <v>EHPAD KORIAN MARISOL</v>
      </c>
      <c r="C7206" t="s">
        <v>71</v>
      </c>
    </row>
    <row r="7207" spans="1:3" x14ac:dyDescent="0.25">
      <c r="A7207" t="str">
        <f>"930703301"</f>
        <v>930703301</v>
      </c>
      <c r="B7207" t="str">
        <f>"EHPAD PETITES SOEURS DES PAUVRES"</f>
        <v>EHPAD PETITES SOEURS DES PAUVRES</v>
      </c>
      <c r="C7207" t="s">
        <v>71</v>
      </c>
    </row>
    <row r="7208" spans="1:3" x14ac:dyDescent="0.25">
      <c r="A7208" t="str">
        <f>"930705728"</f>
        <v>930705728</v>
      </c>
      <c r="B7208" t="str">
        <f>"EHPAD LA PEUPLERAIE"</f>
        <v>EHPAD LA PEUPLERAIE</v>
      </c>
      <c r="C7208" t="s">
        <v>71</v>
      </c>
    </row>
    <row r="7209" spans="1:3" x14ac:dyDescent="0.25">
      <c r="A7209" t="str">
        <f>"930707286"</f>
        <v>930707286</v>
      </c>
      <c r="B7209" t="str">
        <f>"EHPAD SAINT VINCENT DE PAUL STAINS"</f>
        <v>EHPAD SAINT VINCENT DE PAUL STAINS</v>
      </c>
      <c r="C7209" t="s">
        <v>71</v>
      </c>
    </row>
    <row r="7210" spans="1:3" x14ac:dyDescent="0.25">
      <c r="A7210" t="str">
        <f>"930800206"</f>
        <v>930800206</v>
      </c>
      <c r="B7210" t="str">
        <f>"EHPAD CASANOVA DU CENTRE HOSPITALIER"</f>
        <v>EHPAD CASANOVA DU CENTRE HOSPITALIER</v>
      </c>
      <c r="C7210" t="s">
        <v>71</v>
      </c>
    </row>
    <row r="7211" spans="1:3" x14ac:dyDescent="0.25">
      <c r="A7211" t="str">
        <f>"930810387"</f>
        <v>930810387</v>
      </c>
      <c r="B7211" t="str">
        <f>"EHPAD KORIAN VILLA VICTORIA"</f>
        <v>EHPAD KORIAN VILLA VICTORIA</v>
      </c>
      <c r="C7211" t="s">
        <v>71</v>
      </c>
    </row>
    <row r="7212" spans="1:3" x14ac:dyDescent="0.25">
      <c r="A7212" t="str">
        <f>"930815410"</f>
        <v>930815410</v>
      </c>
      <c r="B7212" t="str">
        <f>"EHPAD RESIDENCE LAURE ETENEAU"</f>
        <v>EHPAD RESIDENCE LAURE ETENEAU</v>
      </c>
      <c r="C7212" t="s">
        <v>71</v>
      </c>
    </row>
    <row r="7213" spans="1:3" x14ac:dyDescent="0.25">
      <c r="A7213" t="str">
        <f>"930816087"</f>
        <v>930816087</v>
      </c>
      <c r="B7213" t="str">
        <f>"EHPAD DR GASTON ET PAULE SIMON"</f>
        <v>EHPAD DR GASTON ET PAULE SIMON</v>
      </c>
      <c r="C7213" t="s">
        <v>71</v>
      </c>
    </row>
    <row r="7214" spans="1:3" x14ac:dyDescent="0.25">
      <c r="A7214" t="str">
        <f>"930816285"</f>
        <v>930816285</v>
      </c>
      <c r="B7214" t="str">
        <f>"EHPAD KORIAN LE TULIPIER"</f>
        <v>EHPAD KORIAN LE TULIPIER</v>
      </c>
      <c r="C7214" t="s">
        <v>71</v>
      </c>
    </row>
    <row r="7215" spans="1:3" x14ac:dyDescent="0.25">
      <c r="A7215" t="str">
        <f>"930816293"</f>
        <v>930816293</v>
      </c>
      <c r="B7215" t="str">
        <f>"EHPAD L'EPERVIER"</f>
        <v>EHPAD L'EPERVIER</v>
      </c>
      <c r="C7215" t="s">
        <v>71</v>
      </c>
    </row>
    <row r="7216" spans="1:3" x14ac:dyDescent="0.25">
      <c r="A7216" t="str">
        <f>"930816301"</f>
        <v>930816301</v>
      </c>
      <c r="B7216" t="str">
        <f>"EHPAD KORIAN BONISIACA"</f>
        <v>EHPAD KORIAN BONISIACA</v>
      </c>
      <c r="C7216" t="s">
        <v>71</v>
      </c>
    </row>
    <row r="7217" spans="1:3" x14ac:dyDescent="0.25">
      <c r="A7217" t="str">
        <f>"930816723"</f>
        <v>930816723</v>
      </c>
      <c r="B7217" t="str">
        <f>"EHPAD RESIDENCE LES BEAUX MONTS"</f>
        <v>EHPAD RESIDENCE LES BEAUX MONTS</v>
      </c>
      <c r="C7217" t="s">
        <v>71</v>
      </c>
    </row>
    <row r="7218" spans="1:3" x14ac:dyDescent="0.25">
      <c r="A7218" t="str">
        <f>"930816905"</f>
        <v>930816905</v>
      </c>
      <c r="B7218" t="str">
        <f>"EHPAD SAINT VINCENT DE PAUL"</f>
        <v>EHPAD SAINT VINCENT DE PAUL</v>
      </c>
      <c r="C7218" t="s">
        <v>71</v>
      </c>
    </row>
    <row r="7219" spans="1:3" x14ac:dyDescent="0.25">
      <c r="A7219" t="str">
        <f>"930817531"</f>
        <v>930817531</v>
      </c>
      <c r="B7219" t="str">
        <f>"EHPAD LE PARC"</f>
        <v>EHPAD LE PARC</v>
      </c>
      <c r="C7219" t="s">
        <v>71</v>
      </c>
    </row>
    <row r="7220" spans="1:3" x14ac:dyDescent="0.25">
      <c r="A7220" t="str">
        <f>"930817580"</f>
        <v>930817580</v>
      </c>
      <c r="B7220" t="str">
        <f>"EHPAD RESIDENCE LES CLAIRIERES"</f>
        <v>EHPAD RESIDENCE LES CLAIRIERES</v>
      </c>
      <c r="C7220" t="s">
        <v>71</v>
      </c>
    </row>
    <row r="7221" spans="1:3" x14ac:dyDescent="0.25">
      <c r="A7221" t="str">
        <f>"940002264"</f>
        <v>940002264</v>
      </c>
      <c r="B7221" t="str">
        <f>"EHPAD LES LILAS"</f>
        <v>EHPAD LES LILAS</v>
      </c>
      <c r="C7221" t="s">
        <v>71</v>
      </c>
    </row>
    <row r="7222" spans="1:3" x14ac:dyDescent="0.25">
      <c r="A7222" t="str">
        <f>"940003718"</f>
        <v>940003718</v>
      </c>
      <c r="B7222" t="str">
        <f>"EHPAD RÉSIDENCE ARC BOISE"</f>
        <v>EHPAD RÉSIDENCE ARC BOISE</v>
      </c>
      <c r="C7222" t="s">
        <v>71</v>
      </c>
    </row>
    <row r="7223" spans="1:3" x14ac:dyDescent="0.25">
      <c r="A7223" t="str">
        <f>"940003858"</f>
        <v>940003858</v>
      </c>
      <c r="B7223" t="str">
        <f>"EHPAD LE VERGER DE VINCENNES"</f>
        <v>EHPAD LE VERGER DE VINCENNES</v>
      </c>
      <c r="C7223" t="s">
        <v>71</v>
      </c>
    </row>
    <row r="7224" spans="1:3" x14ac:dyDescent="0.25">
      <c r="A7224" t="str">
        <f>"940003882"</f>
        <v>940003882</v>
      </c>
      <c r="B7224" t="str">
        <f>"EHPAD RESIDENCE JOSEPH GUITTARD"</f>
        <v>EHPAD RESIDENCE JOSEPH GUITTARD</v>
      </c>
      <c r="C7224" t="s">
        <v>71</v>
      </c>
    </row>
    <row r="7225" spans="1:3" x14ac:dyDescent="0.25">
      <c r="A7225" t="str">
        <f>"940005499"</f>
        <v>940005499</v>
      </c>
      <c r="B7225" t="str">
        <f>"EHPAD LA RESIDENCE MEDICIS"</f>
        <v>EHPAD LA RESIDENCE MEDICIS</v>
      </c>
      <c r="C7225" t="s">
        <v>71</v>
      </c>
    </row>
    <row r="7226" spans="1:3" x14ac:dyDescent="0.25">
      <c r="A7226" t="str">
        <f>"940006208"</f>
        <v>940006208</v>
      </c>
      <c r="B7226" t="str">
        <f>"EHPAD LA MAISON DU GRAND CEDRE"</f>
        <v>EHPAD LA MAISON DU GRAND CEDRE</v>
      </c>
      <c r="C7226" t="s">
        <v>71</v>
      </c>
    </row>
    <row r="7227" spans="1:3" x14ac:dyDescent="0.25">
      <c r="A7227" t="str">
        <f>"940006638"</f>
        <v>940006638</v>
      </c>
      <c r="B7227" t="str">
        <f>"EHPAD LA RESIDENCE  LES PASTOUREAUX"</f>
        <v>EHPAD LA RESIDENCE  LES PASTOUREAUX</v>
      </c>
      <c r="C7227" t="s">
        <v>71</v>
      </c>
    </row>
    <row r="7228" spans="1:3" x14ac:dyDescent="0.25">
      <c r="A7228" t="str">
        <f>"940007719"</f>
        <v>940007719</v>
      </c>
      <c r="B7228" t="str">
        <f>"EHPAD LA MAISON DU JARDIN DES ROSES"</f>
        <v>EHPAD LA MAISON DU JARDIN DES ROSES</v>
      </c>
      <c r="C7228" t="s">
        <v>71</v>
      </c>
    </row>
    <row r="7229" spans="1:3" x14ac:dyDescent="0.25">
      <c r="A7229" t="str">
        <f>"940007909"</f>
        <v>940007909</v>
      </c>
      <c r="B7229" t="str">
        <f>"EHPAD RESIDENCE PIERRE TABANOU"</f>
        <v>EHPAD RESIDENCE PIERRE TABANOU</v>
      </c>
      <c r="C7229" t="s">
        <v>71</v>
      </c>
    </row>
    <row r="7230" spans="1:3" x14ac:dyDescent="0.25">
      <c r="A7230" t="str">
        <f>"940007958"</f>
        <v>940007958</v>
      </c>
      <c r="B7230" t="str">
        <f>"EHPAD RESIDENCE BEAUREGARD"</f>
        <v>EHPAD RESIDENCE BEAUREGARD</v>
      </c>
      <c r="C7230" t="s">
        <v>71</v>
      </c>
    </row>
    <row r="7231" spans="1:3" x14ac:dyDescent="0.25">
      <c r="A7231" t="str">
        <f>"940011109"</f>
        <v>940011109</v>
      </c>
      <c r="B7231" t="str">
        <f>"EHPAD GABRIELLE D ESTREES"</f>
        <v>EHPAD GABRIELLE D ESTREES</v>
      </c>
      <c r="C7231" t="s">
        <v>71</v>
      </c>
    </row>
    <row r="7232" spans="1:3" x14ac:dyDescent="0.25">
      <c r="A7232" t="str">
        <f>"940011398"</f>
        <v>940011398</v>
      </c>
      <c r="B7232" t="str">
        <f>"EHPAD RESIDENCE SAINT EXUPERY"</f>
        <v>EHPAD RESIDENCE SAINT EXUPERY</v>
      </c>
      <c r="C7232" t="s">
        <v>71</v>
      </c>
    </row>
    <row r="7233" spans="1:3" x14ac:dyDescent="0.25">
      <c r="A7233" t="str">
        <f>"940011489"</f>
        <v>940011489</v>
      </c>
      <c r="B7233" t="str">
        <f>"EHPAD LES SORIERES"</f>
        <v>EHPAD LES SORIERES</v>
      </c>
      <c r="C7233" t="s">
        <v>71</v>
      </c>
    </row>
    <row r="7234" spans="1:3" x14ac:dyDescent="0.25">
      <c r="A7234" t="str">
        <f>"940012339"</f>
        <v>940012339</v>
      </c>
      <c r="B7234" t="str">
        <f>"EHPAD L ORANGERIE"</f>
        <v>EHPAD L ORANGERIE</v>
      </c>
      <c r="C7234" t="s">
        <v>71</v>
      </c>
    </row>
    <row r="7235" spans="1:3" x14ac:dyDescent="0.25">
      <c r="A7235" t="str">
        <f>"940014988"</f>
        <v>940014988</v>
      </c>
      <c r="B7235" t="str">
        <f>"EHPAD CHANTEREINE"</f>
        <v>EHPAD CHANTEREINE</v>
      </c>
      <c r="C7235" t="s">
        <v>71</v>
      </c>
    </row>
    <row r="7236" spans="1:3" x14ac:dyDescent="0.25">
      <c r="A7236" t="str">
        <f>"940015019"</f>
        <v>940015019</v>
      </c>
      <c r="B7236" t="str">
        <f>"EHPAD ERIK SATIE"</f>
        <v>EHPAD ERIK SATIE</v>
      </c>
      <c r="C7236" t="s">
        <v>71</v>
      </c>
    </row>
    <row r="7237" spans="1:3" x14ac:dyDescent="0.25">
      <c r="A7237" t="str">
        <f>"940015548"</f>
        <v>940015548</v>
      </c>
      <c r="B7237" t="str">
        <f>"EHPAD RESIDENCE DE L ORME"</f>
        <v>EHPAD RESIDENCE DE L ORME</v>
      </c>
      <c r="C7237" t="s">
        <v>71</v>
      </c>
    </row>
    <row r="7238" spans="1:3" x14ac:dyDescent="0.25">
      <c r="A7238" t="str">
        <f>"940017627"</f>
        <v>940017627</v>
      </c>
      <c r="B7238" t="str">
        <f>"EHPAD CLAUDE KELMAN"</f>
        <v>EHPAD CLAUDE KELMAN</v>
      </c>
      <c r="C7238" t="s">
        <v>71</v>
      </c>
    </row>
    <row r="7239" spans="1:3" x14ac:dyDescent="0.25">
      <c r="A7239" t="str">
        <f>"940018963"</f>
        <v>940018963</v>
      </c>
      <c r="B7239" t="str">
        <f>"EHPAD FONDATION FAVIER NOISEAU"</f>
        <v>EHPAD FONDATION FAVIER NOISEAU</v>
      </c>
      <c r="C7239" t="s">
        <v>71</v>
      </c>
    </row>
    <row r="7240" spans="1:3" x14ac:dyDescent="0.25">
      <c r="A7240" t="str">
        <f>"940019300"</f>
        <v>940019300</v>
      </c>
      <c r="B7240" t="str">
        <f>"EHPAD TIERS TEMPS BICETRE"</f>
        <v>EHPAD TIERS TEMPS BICETRE</v>
      </c>
      <c r="C7240" t="s">
        <v>71</v>
      </c>
    </row>
    <row r="7241" spans="1:3" x14ac:dyDescent="0.25">
      <c r="A7241" t="str">
        <f>"940019631"</f>
        <v>940019631</v>
      </c>
      <c r="B7241" t="str">
        <f>"EHPAD RESIDENCE LE VAL D OSNE"</f>
        <v>EHPAD RESIDENCE LE VAL D OSNE</v>
      </c>
      <c r="C7241" t="s">
        <v>71</v>
      </c>
    </row>
    <row r="7242" spans="1:3" x14ac:dyDescent="0.25">
      <c r="A7242" t="str">
        <f>"940020001"</f>
        <v>940020001</v>
      </c>
      <c r="B7242" t="str">
        <f>"EHPAD RESIDENCE LANMODEZ"</f>
        <v>EHPAD RESIDENCE LANMODEZ</v>
      </c>
      <c r="C7242" t="s">
        <v>71</v>
      </c>
    </row>
    <row r="7243" spans="1:3" x14ac:dyDescent="0.25">
      <c r="A7243" t="str">
        <f>"940020092"</f>
        <v>940020092</v>
      </c>
      <c r="B7243" t="str">
        <f>"EHPAD RESIDENCE GEORGES LEGER"</f>
        <v>EHPAD RESIDENCE GEORGES LEGER</v>
      </c>
      <c r="C7243" t="s">
        <v>71</v>
      </c>
    </row>
    <row r="7244" spans="1:3" x14ac:dyDescent="0.25">
      <c r="A7244" t="str">
        <f>"940020282"</f>
        <v>940020282</v>
      </c>
      <c r="B7244" t="str">
        <f>"EHPAD LA MAISON DU SAULE CENDRE"</f>
        <v>EHPAD LA MAISON DU SAULE CENDRE</v>
      </c>
      <c r="C7244" t="s">
        <v>71</v>
      </c>
    </row>
    <row r="7245" spans="1:3" x14ac:dyDescent="0.25">
      <c r="A7245" t="str">
        <f>"940020779"</f>
        <v>940020779</v>
      </c>
      <c r="B7245" t="str">
        <f>"EHPAD POLE RAYMONDE OLIVIER VALIBOUSE"</f>
        <v>EHPAD POLE RAYMONDE OLIVIER VALIBOUSE</v>
      </c>
      <c r="C7245" t="s">
        <v>71</v>
      </c>
    </row>
    <row r="7246" spans="1:3" x14ac:dyDescent="0.25">
      <c r="A7246" t="str">
        <f>"940021439"</f>
        <v>940021439</v>
      </c>
      <c r="B7246" t="str">
        <f>"EHPAD MRI RESIDENCE DELA DAME BLANCHE"</f>
        <v>EHPAD MRI RESIDENCE DELA DAME BLANCHE</v>
      </c>
      <c r="C7246" t="s">
        <v>71</v>
      </c>
    </row>
    <row r="7247" spans="1:3" x14ac:dyDescent="0.25">
      <c r="A7247" t="str">
        <f>"940022049"</f>
        <v>940022049</v>
      </c>
      <c r="B7247" t="str">
        <f>"EHPAD LA CRISTOLIENNE"</f>
        <v>EHPAD LA CRISTOLIENNE</v>
      </c>
      <c r="C7247" t="s">
        <v>71</v>
      </c>
    </row>
    <row r="7248" spans="1:3" x14ac:dyDescent="0.25">
      <c r="A7248" t="str">
        <f>"940022205"</f>
        <v>940022205</v>
      </c>
      <c r="B7248" t="str">
        <f>"EHPAD VILLA CAUDACIENNE"</f>
        <v>EHPAD VILLA CAUDACIENNE</v>
      </c>
      <c r="C7248" t="s">
        <v>71</v>
      </c>
    </row>
    <row r="7249" spans="1:3" x14ac:dyDescent="0.25">
      <c r="A7249" t="str">
        <f>"940022379"</f>
        <v>940022379</v>
      </c>
      <c r="B7249" t="str">
        <f>"EHPAD FONDATION FAVIER ORMESSON"</f>
        <v>EHPAD FONDATION FAVIER ORMESSON</v>
      </c>
      <c r="C7249" t="s">
        <v>71</v>
      </c>
    </row>
    <row r="7250" spans="1:3" x14ac:dyDescent="0.25">
      <c r="A7250" t="str">
        <f>"940022494"</f>
        <v>940022494</v>
      </c>
      <c r="B7250" t="str">
        <f>"EHPAD LA SEIGNEURIE"</f>
        <v>EHPAD LA SEIGNEURIE</v>
      </c>
      <c r="C7250" t="s">
        <v>71</v>
      </c>
    </row>
    <row r="7251" spans="1:3" x14ac:dyDescent="0.25">
      <c r="A7251" t="str">
        <f>"940028889"</f>
        <v>940028889</v>
      </c>
      <c r="B7251" t="str">
        <f>"EHPAD CLEMENTINE PITOIS"</f>
        <v>EHPAD CLEMENTINE PITOIS</v>
      </c>
      <c r="C7251" t="s">
        <v>71</v>
      </c>
    </row>
    <row r="7252" spans="1:3" x14ac:dyDescent="0.25">
      <c r="A7252" t="str">
        <f>"940710122"</f>
        <v>940710122</v>
      </c>
      <c r="B7252" t="str">
        <f>"EHPAD FONDATION FAVIER VAL DE MARNE"</f>
        <v>EHPAD FONDATION FAVIER VAL DE MARNE</v>
      </c>
      <c r="C7252" t="s">
        <v>71</v>
      </c>
    </row>
    <row r="7253" spans="1:3" x14ac:dyDescent="0.25">
      <c r="A7253" t="str">
        <f>"940711237"</f>
        <v>940711237</v>
      </c>
      <c r="B7253" t="str">
        <f>"EHPAD HECTOR MALOT MRI"</f>
        <v>EHPAD HECTOR MALOT MRI</v>
      </c>
      <c r="C7253" t="s">
        <v>71</v>
      </c>
    </row>
    <row r="7254" spans="1:3" x14ac:dyDescent="0.25">
      <c r="A7254" t="str">
        <f>"940712110"</f>
        <v>940712110</v>
      </c>
      <c r="B7254" t="str">
        <f>"EHPAD HARMONIE"</f>
        <v>EHPAD HARMONIE</v>
      </c>
      <c r="C7254" t="s">
        <v>71</v>
      </c>
    </row>
    <row r="7255" spans="1:3" x14ac:dyDescent="0.25">
      <c r="A7255" t="str">
        <f>"940712797"</f>
        <v>940712797</v>
      </c>
      <c r="B7255" t="str">
        <f>"EHPAD FONDATION FAVIER NOGENT"</f>
        <v>EHPAD FONDATION FAVIER NOGENT</v>
      </c>
      <c r="C7255" t="s">
        <v>71</v>
      </c>
    </row>
    <row r="7256" spans="1:3" x14ac:dyDescent="0.25">
      <c r="A7256" t="str">
        <f>"940713233"</f>
        <v>940713233</v>
      </c>
      <c r="B7256" t="str">
        <f>"EHPAD RESIDENCE DE LA CITE VERTE"</f>
        <v>EHPAD RESIDENCE DE LA CITE VERTE</v>
      </c>
      <c r="C7256" t="s">
        <v>71</v>
      </c>
    </row>
    <row r="7257" spans="1:3" x14ac:dyDescent="0.25">
      <c r="A7257" t="str">
        <f>"940714660"</f>
        <v>940714660</v>
      </c>
      <c r="B7257" t="str">
        <f>"EHPAD FONDATION GOURLET BONTEMPS"</f>
        <v>EHPAD FONDATION GOURLET BONTEMPS</v>
      </c>
      <c r="C7257" t="s">
        <v>71</v>
      </c>
    </row>
    <row r="7258" spans="1:3" x14ac:dyDescent="0.25">
      <c r="A7258" t="str">
        <f>"940800683"</f>
        <v>940800683</v>
      </c>
      <c r="B7258" t="str">
        <f>"EHPAD ACCUEIL SAINT-FRANCOIS"</f>
        <v>EHPAD ACCUEIL SAINT-FRANCOIS</v>
      </c>
      <c r="C7258" t="s">
        <v>71</v>
      </c>
    </row>
    <row r="7259" spans="1:3" x14ac:dyDescent="0.25">
      <c r="A7259" t="str">
        <f>"940800691"</f>
        <v>940800691</v>
      </c>
      <c r="B7259" t="str">
        <f>"EHPAD KORIAN LES LIERRES"</f>
        <v>EHPAD KORIAN LES LIERRES</v>
      </c>
      <c r="C7259" t="s">
        <v>71</v>
      </c>
    </row>
    <row r="7260" spans="1:3" x14ac:dyDescent="0.25">
      <c r="A7260" t="str">
        <f>"940800816"</f>
        <v>940800816</v>
      </c>
      <c r="B7260" t="str">
        <f>"EHPAD AFRICA"</f>
        <v>EHPAD AFRICA</v>
      </c>
      <c r="C7260" t="s">
        <v>71</v>
      </c>
    </row>
    <row r="7261" spans="1:3" x14ac:dyDescent="0.25">
      <c r="A7261" t="str">
        <f>"940800824"</f>
        <v>940800824</v>
      </c>
      <c r="B7261" t="str">
        <f>"EHPAD LES PERES BLANCS"</f>
        <v>EHPAD LES PERES BLANCS</v>
      </c>
      <c r="C7261" t="s">
        <v>71</v>
      </c>
    </row>
    <row r="7262" spans="1:3" x14ac:dyDescent="0.25">
      <c r="A7262" t="str">
        <f>"940801285"</f>
        <v>940801285</v>
      </c>
      <c r="B7262" t="str">
        <f>"EHPAD RESIDENCE DU PARC DE SANTENY"</f>
        <v>EHPAD RESIDENCE DU PARC DE SANTENY</v>
      </c>
      <c r="C7262" t="s">
        <v>71</v>
      </c>
    </row>
    <row r="7263" spans="1:3" x14ac:dyDescent="0.25">
      <c r="A7263" t="str">
        <f>"940801293"</f>
        <v>940801293</v>
      </c>
      <c r="B7263" t="str">
        <f>"EHPAD MAISON DE RETRAITE JEAN XXIII"</f>
        <v>EHPAD MAISON DE RETRAITE JEAN XXIII</v>
      </c>
      <c r="C7263" t="s">
        <v>71</v>
      </c>
    </row>
    <row r="7264" spans="1:3" x14ac:dyDescent="0.25">
      <c r="A7264" t="str">
        <f>"940801343"</f>
        <v>940801343</v>
      </c>
      <c r="B7264" t="str">
        <f>"EHPAD LA CASCADE"</f>
        <v>EHPAD LA CASCADE</v>
      </c>
      <c r="C7264" t="s">
        <v>71</v>
      </c>
    </row>
    <row r="7265" spans="1:3" x14ac:dyDescent="0.25">
      <c r="A7265" t="str">
        <f>"940802150"</f>
        <v>940802150</v>
      </c>
      <c r="B7265" t="str">
        <f>"EHPAD LES FLEURS BLEUES"</f>
        <v>EHPAD LES FLEURS BLEUES</v>
      </c>
      <c r="C7265" t="s">
        <v>71</v>
      </c>
    </row>
    <row r="7266" spans="1:3" x14ac:dyDescent="0.25">
      <c r="A7266" t="str">
        <f>"940802515"</f>
        <v>940802515</v>
      </c>
      <c r="B7266" t="str">
        <f>"EHPAD SAINT PIERRE"</f>
        <v>EHPAD SAINT PIERRE</v>
      </c>
      <c r="C7266" t="s">
        <v>71</v>
      </c>
    </row>
    <row r="7267" spans="1:3" x14ac:dyDescent="0.25">
      <c r="A7267" t="str">
        <f>"940802630"</f>
        <v>940802630</v>
      </c>
      <c r="B7267" t="str">
        <f>"EHPAD RESIDENCE LES CEDRES"</f>
        <v>EHPAD RESIDENCE LES CEDRES</v>
      </c>
      <c r="C7267" t="s">
        <v>71</v>
      </c>
    </row>
    <row r="7268" spans="1:3" x14ac:dyDescent="0.25">
      <c r="A7268" t="str">
        <f>"940802648"</f>
        <v>940802648</v>
      </c>
      <c r="B7268" t="str">
        <f>"EHPAD MAISON DE RETRAITE ST JOSEPH"</f>
        <v>EHPAD MAISON DE RETRAITE ST JOSEPH</v>
      </c>
      <c r="C7268" t="s">
        <v>71</v>
      </c>
    </row>
    <row r="7269" spans="1:3" x14ac:dyDescent="0.25">
      <c r="A7269" t="str">
        <f>"940802937"</f>
        <v>940802937</v>
      </c>
      <c r="B7269" t="str">
        <f>"EHPAD KORIAN VILLA SAINT- HILAIRE"</f>
        <v>EHPAD KORIAN VILLA SAINT- HILAIRE</v>
      </c>
      <c r="C7269" t="s">
        <v>71</v>
      </c>
    </row>
    <row r="7270" spans="1:3" x14ac:dyDescent="0.25">
      <c r="A7270" t="str">
        <f>"940803190"</f>
        <v>940803190</v>
      </c>
      <c r="B7270" t="str">
        <f>"EHPAD LE GRAND AGE RESIDENCE BONHEUR"</f>
        <v>EHPAD LE GRAND AGE RESIDENCE BONHEUR</v>
      </c>
      <c r="C7270" t="s">
        <v>71</v>
      </c>
    </row>
    <row r="7271" spans="1:3" x14ac:dyDescent="0.25">
      <c r="A7271" t="str">
        <f>"940803356"</f>
        <v>940803356</v>
      </c>
      <c r="B7271" t="str">
        <f>"EHPAD RESIDENCE SANTE COUSIN MERICOURT"</f>
        <v>EHPAD RESIDENCE SANTE COUSIN MERICOURT</v>
      </c>
      <c r="C7271" t="s">
        <v>71</v>
      </c>
    </row>
    <row r="7272" spans="1:3" x14ac:dyDescent="0.25">
      <c r="A7272" t="str">
        <f>"940803687"</f>
        <v>940803687</v>
      </c>
      <c r="B7272" t="str">
        <f>"EHPAD MAISON RETRAITE LE SACRE COEUR"</f>
        <v>EHPAD MAISON RETRAITE LE SACRE COEUR</v>
      </c>
      <c r="C7272" t="s">
        <v>71</v>
      </c>
    </row>
    <row r="7273" spans="1:3" x14ac:dyDescent="0.25">
      <c r="A7273" t="str">
        <f>"940803919"</f>
        <v>940803919</v>
      </c>
      <c r="B7273" t="str">
        <f>"EHPAD SAINT JEAN EUDES"</f>
        <v>EHPAD SAINT JEAN EUDES</v>
      </c>
      <c r="C7273" t="s">
        <v>71</v>
      </c>
    </row>
    <row r="7274" spans="1:3" x14ac:dyDescent="0.25">
      <c r="A7274" t="str">
        <f>"940804347"</f>
        <v>940804347</v>
      </c>
      <c r="B7274" t="str">
        <f>"EHPAD LE HAMEAU DU MESLY"</f>
        <v>EHPAD LE HAMEAU DU MESLY</v>
      </c>
      <c r="C7274" t="s">
        <v>71</v>
      </c>
    </row>
    <row r="7275" spans="1:3" x14ac:dyDescent="0.25">
      <c r="A7275" t="str">
        <f>"940805211"</f>
        <v>940805211</v>
      </c>
      <c r="B7275" t="str">
        <f>"EHPAD LES JARDINS DES ACACIAS"</f>
        <v>EHPAD LES JARDINS DES ACACIAS</v>
      </c>
      <c r="C7275" t="s">
        <v>71</v>
      </c>
    </row>
    <row r="7276" spans="1:3" x14ac:dyDescent="0.25">
      <c r="A7276" t="str">
        <f>"940805260"</f>
        <v>940805260</v>
      </c>
      <c r="B7276" t="str">
        <f>"EHPAD LES VIGNES"</f>
        <v>EHPAD LES VIGNES</v>
      </c>
      <c r="C7276" t="s">
        <v>71</v>
      </c>
    </row>
    <row r="7277" spans="1:3" x14ac:dyDescent="0.25">
      <c r="A7277" t="str">
        <f>"940805385"</f>
        <v>940805385</v>
      </c>
      <c r="B7277" t="str">
        <f>"EHPAD RESIDENCE NORMANDY COTTAGE"</f>
        <v>EHPAD RESIDENCE NORMANDY COTTAGE</v>
      </c>
      <c r="C7277" t="s">
        <v>71</v>
      </c>
    </row>
    <row r="7278" spans="1:3" x14ac:dyDescent="0.25">
      <c r="A7278" t="str">
        <f>"940805393"</f>
        <v>940805393</v>
      </c>
      <c r="B7278" t="str">
        <f>"EHPAD LE JARDIN DE NEPTUNE LES SAULES"</f>
        <v>EHPAD LE JARDIN DE NEPTUNE LES SAULES</v>
      </c>
      <c r="C7278" t="s">
        <v>71</v>
      </c>
    </row>
    <row r="7279" spans="1:3" x14ac:dyDescent="0.25">
      <c r="A7279" t="str">
        <f>"940806037"</f>
        <v>940806037</v>
      </c>
      <c r="B7279" t="str">
        <f>"EHPAD RESIDENCE LES TILLEULS"</f>
        <v>EHPAD RESIDENCE LES TILLEULS</v>
      </c>
      <c r="C7279" t="s">
        <v>71</v>
      </c>
    </row>
    <row r="7280" spans="1:3" x14ac:dyDescent="0.25">
      <c r="A7280" t="str">
        <f>"940806045"</f>
        <v>940806045</v>
      </c>
      <c r="B7280" t="str">
        <f>"EHPAD MAISON NATIONALE DES ARTISTES"</f>
        <v>EHPAD MAISON NATIONALE DES ARTISTES</v>
      </c>
      <c r="C7280" t="s">
        <v>71</v>
      </c>
    </row>
    <row r="7281" spans="1:3" x14ac:dyDescent="0.25">
      <c r="A7281" t="str">
        <f>"940807530"</f>
        <v>940807530</v>
      </c>
      <c r="B7281" t="str">
        <f>"EHPAD MAPA JOSEPH FRANCESCHI"</f>
        <v>EHPAD MAPA JOSEPH FRANCESCHI</v>
      </c>
      <c r="C7281" t="s">
        <v>71</v>
      </c>
    </row>
    <row r="7282" spans="1:3" x14ac:dyDescent="0.25">
      <c r="A7282" t="str">
        <f>"940807795"</f>
        <v>940807795</v>
      </c>
      <c r="B7282" t="str">
        <f>"EHPAD MAISON DE RETRAITE PUB.AUTONOME"</f>
        <v>EHPAD MAISON DE RETRAITE PUB.AUTONOME</v>
      </c>
      <c r="C7282" t="s">
        <v>71</v>
      </c>
    </row>
    <row r="7283" spans="1:3" x14ac:dyDescent="0.25">
      <c r="A7283" t="str">
        <f>"940808009"</f>
        <v>940808009</v>
      </c>
      <c r="B7283" t="str">
        <f>"EHPAD LA RESIDENCE LES JARDINS THIAIS"</f>
        <v>EHPAD LA RESIDENCE LES JARDINS THIAIS</v>
      </c>
      <c r="C7283" t="s">
        <v>71</v>
      </c>
    </row>
    <row r="7284" spans="1:3" x14ac:dyDescent="0.25">
      <c r="A7284" t="str">
        <f>"940808025"</f>
        <v>940808025</v>
      </c>
      <c r="B7284" t="str">
        <f>"EHPAD LA VALLEE DE LA MARNE"</f>
        <v>EHPAD LA VALLEE DE LA MARNE</v>
      </c>
      <c r="C7284" t="s">
        <v>71</v>
      </c>
    </row>
    <row r="7285" spans="1:3" x14ac:dyDescent="0.25">
      <c r="A7285" t="str">
        <f>"940808546"</f>
        <v>940808546</v>
      </c>
      <c r="B7285" t="str">
        <f>"EHPAD RESIDENCE DE L ABBAYE"</f>
        <v>EHPAD RESIDENCE DE L ABBAYE</v>
      </c>
      <c r="C7285" t="s">
        <v>71</v>
      </c>
    </row>
    <row r="7286" spans="1:3" x14ac:dyDescent="0.25">
      <c r="A7286" t="str">
        <f>"940809387"</f>
        <v>940809387</v>
      </c>
      <c r="B7286" t="str">
        <f>"EHPAD RESIDENCE LE VIEUX COLOMBIER"</f>
        <v>EHPAD RESIDENCE LE VIEUX COLOMBIER</v>
      </c>
      <c r="C7286" t="s">
        <v>71</v>
      </c>
    </row>
    <row r="7287" spans="1:3" x14ac:dyDescent="0.25">
      <c r="A7287" t="str">
        <f>"940811987"</f>
        <v>940811987</v>
      </c>
      <c r="B7287" t="str">
        <f>"EHPAD RESIDENCE DES BORDS DE MARNE"</f>
        <v>EHPAD RESIDENCE DES BORDS DE MARNE</v>
      </c>
      <c r="C7287" t="s">
        <v>71</v>
      </c>
    </row>
    <row r="7288" spans="1:3" x14ac:dyDescent="0.25">
      <c r="A7288" t="str">
        <f>"940813074"</f>
        <v>940813074</v>
      </c>
      <c r="B7288" t="str">
        <f>"EHPAD RESIDENCE SEVIGNE"</f>
        <v>EHPAD RESIDENCE SEVIGNE</v>
      </c>
      <c r="C7288" t="s">
        <v>71</v>
      </c>
    </row>
    <row r="7289" spans="1:3" x14ac:dyDescent="0.25">
      <c r="A7289" t="str">
        <f>"940813116"</f>
        <v>940813116</v>
      </c>
      <c r="B7289" t="str">
        <f>"EHPAD RESIDENCE LE TEMPS DES ROSES"</f>
        <v>EHPAD RESIDENCE LE TEMPS DES ROSES</v>
      </c>
      <c r="C7289" t="s">
        <v>71</v>
      </c>
    </row>
    <row r="7290" spans="1:3" x14ac:dyDescent="0.25">
      <c r="A7290" t="str">
        <f>"940814429"</f>
        <v>940814429</v>
      </c>
      <c r="B7290" t="str">
        <f>"EHPAD LA MAISON DE LA BIEVRE"</f>
        <v>EHPAD LA MAISON DE LA BIEVRE</v>
      </c>
      <c r="C7290" t="s">
        <v>71</v>
      </c>
    </row>
    <row r="7291" spans="1:3" x14ac:dyDescent="0.25">
      <c r="A7291" t="str">
        <f>"940814742"</f>
        <v>940814742</v>
      </c>
      <c r="B7291" t="str">
        <f>"EHPAD RESIDENCE VERDI"</f>
        <v>EHPAD RESIDENCE VERDI</v>
      </c>
      <c r="C7291" t="s">
        <v>71</v>
      </c>
    </row>
    <row r="7292" spans="1:3" x14ac:dyDescent="0.25">
      <c r="A7292" t="str">
        <f>"940816432"</f>
        <v>940816432</v>
      </c>
      <c r="B7292" t="str">
        <f>"EHPAD RESIDENCE SIMONE VEIL"</f>
        <v>EHPAD RESIDENCE SIMONE VEIL</v>
      </c>
      <c r="C7292" t="s">
        <v>71</v>
      </c>
    </row>
    <row r="7293" spans="1:3" x14ac:dyDescent="0.25">
      <c r="A7293" t="str">
        <f>"950000117"</f>
        <v>950000117</v>
      </c>
      <c r="B7293" t="str">
        <f>"EHPAD RESIDENCE LES PRIMEVERES"</f>
        <v>EHPAD RESIDENCE LES PRIMEVERES</v>
      </c>
      <c r="C7293" t="s">
        <v>71</v>
      </c>
    </row>
    <row r="7294" spans="1:3" x14ac:dyDescent="0.25">
      <c r="A7294" t="str">
        <f>"950000182"</f>
        <v>950000182</v>
      </c>
      <c r="B7294" t="str">
        <f>"EHPAD RESIDENCE DES LYS"</f>
        <v>EHPAD RESIDENCE DES LYS</v>
      </c>
      <c r="C7294" t="s">
        <v>71</v>
      </c>
    </row>
    <row r="7295" spans="1:3" x14ac:dyDescent="0.25">
      <c r="A7295" t="str">
        <f>"950000372"</f>
        <v>950000372</v>
      </c>
      <c r="B7295" t="str">
        <f>"EHPAD J-B CARTRY SITE DE MARINES"</f>
        <v>EHPAD J-B CARTRY SITE DE MARINES</v>
      </c>
      <c r="C7295" t="s">
        <v>71</v>
      </c>
    </row>
    <row r="7296" spans="1:3" x14ac:dyDescent="0.25">
      <c r="A7296" t="str">
        <f>"950002030"</f>
        <v>950002030</v>
      </c>
      <c r="B7296" t="str">
        <f>"EHPAD SAINTE GENEVIEVE"</f>
        <v>EHPAD SAINTE GENEVIEVE</v>
      </c>
      <c r="C7296" t="s">
        <v>71</v>
      </c>
    </row>
    <row r="7297" spans="1:3" x14ac:dyDescent="0.25">
      <c r="A7297" t="str">
        <f>"950002261"</f>
        <v>950002261</v>
      </c>
      <c r="B7297" t="str">
        <f>"EHPAD KORIAN LE COTTAGE"</f>
        <v>EHPAD KORIAN LE COTTAGE</v>
      </c>
      <c r="C7297" t="s">
        <v>71</v>
      </c>
    </row>
    <row r="7298" spans="1:3" x14ac:dyDescent="0.25">
      <c r="A7298" t="str">
        <f>"950004358"</f>
        <v>950004358</v>
      </c>
      <c r="B7298" t="str">
        <f>"EHPAD LE CLOS D ARNOUVILLE"</f>
        <v>EHPAD LE CLOS D ARNOUVILLE</v>
      </c>
      <c r="C7298" t="s">
        <v>71</v>
      </c>
    </row>
    <row r="7299" spans="1:3" x14ac:dyDescent="0.25">
      <c r="A7299" t="str">
        <f>"950004929"</f>
        <v>950004929</v>
      </c>
      <c r="B7299" t="str">
        <f>"EHPAD SOLEMNES"</f>
        <v>EHPAD SOLEMNES</v>
      </c>
      <c r="C7299" t="s">
        <v>71</v>
      </c>
    </row>
    <row r="7300" spans="1:3" x14ac:dyDescent="0.25">
      <c r="A7300" t="str">
        <f>"950004978"</f>
        <v>950004978</v>
      </c>
      <c r="B7300" t="str">
        <f>"EHPAD BELLEVUE"</f>
        <v>EHPAD BELLEVUE</v>
      </c>
      <c r="C7300" t="s">
        <v>71</v>
      </c>
    </row>
    <row r="7301" spans="1:3" x14ac:dyDescent="0.25">
      <c r="A7301" t="str">
        <f>"950005009"</f>
        <v>950005009</v>
      </c>
      <c r="B7301" t="str">
        <f>"EHPAD CHATEAU DE NEUVILLE"</f>
        <v>EHPAD CHATEAU DE NEUVILLE</v>
      </c>
      <c r="C7301" t="s">
        <v>71</v>
      </c>
    </row>
    <row r="7302" spans="1:3" x14ac:dyDescent="0.25">
      <c r="A7302" t="str">
        <f>"950009118"</f>
        <v>950009118</v>
      </c>
      <c r="B7302" t="str">
        <f>"EHPAD RESIDENCE MEDICIS"</f>
        <v>EHPAD RESIDENCE MEDICIS</v>
      </c>
      <c r="C7302" t="s">
        <v>71</v>
      </c>
    </row>
    <row r="7303" spans="1:3" x14ac:dyDescent="0.25">
      <c r="A7303" t="str">
        <f>"950009258"</f>
        <v>950009258</v>
      </c>
      <c r="B7303" t="str">
        <f>"EHPAD KORIAN MONTFRAIS"</f>
        <v>EHPAD KORIAN MONTFRAIS</v>
      </c>
      <c r="C7303" t="s">
        <v>71</v>
      </c>
    </row>
    <row r="7304" spans="1:3" x14ac:dyDescent="0.25">
      <c r="A7304" t="str">
        <f>"950009738"</f>
        <v>950009738</v>
      </c>
      <c r="B7304" t="str">
        <f>"EHPAD LES JARDINS SEMIRAMIS"</f>
        <v>EHPAD LES JARDINS SEMIRAMIS</v>
      </c>
      <c r="C7304" t="s">
        <v>71</v>
      </c>
    </row>
    <row r="7305" spans="1:3" x14ac:dyDescent="0.25">
      <c r="A7305" t="str">
        <f>"950010868"</f>
        <v>950010868</v>
      </c>
      <c r="B7305" t="str">
        <f>"EHPAD LE CLOS DE L OSERAIE"</f>
        <v>EHPAD LE CLOS DE L OSERAIE</v>
      </c>
      <c r="C7305" t="s">
        <v>71</v>
      </c>
    </row>
    <row r="7306" spans="1:3" x14ac:dyDescent="0.25">
      <c r="A7306" t="str">
        <f>"950011148"</f>
        <v>950011148</v>
      </c>
      <c r="B7306" t="str">
        <f>"EHPAD CHANTEPIE MANCIER"</f>
        <v>EHPAD CHANTEPIE MANCIER</v>
      </c>
      <c r="C7306" t="s">
        <v>71</v>
      </c>
    </row>
    <row r="7307" spans="1:3" x14ac:dyDescent="0.25">
      <c r="A7307" t="str">
        <f>"950014589"</f>
        <v>950014589</v>
      </c>
      <c r="B7307" t="str">
        <f>"EHPAD RESIDENCE LE MESNIL"</f>
        <v>EHPAD RESIDENCE LE MESNIL</v>
      </c>
      <c r="C7307" t="s">
        <v>71</v>
      </c>
    </row>
    <row r="7308" spans="1:3" x14ac:dyDescent="0.25">
      <c r="A7308" t="str">
        <f>"950015958"</f>
        <v>950015958</v>
      </c>
      <c r="B7308" t="str">
        <f>"EHPAD LES HIRONDELLES"</f>
        <v>EHPAD LES HIRONDELLES</v>
      </c>
      <c r="C7308" t="s">
        <v>71</v>
      </c>
    </row>
    <row r="7309" spans="1:3" x14ac:dyDescent="0.25">
      <c r="A7309" t="str">
        <f>"950040238"</f>
        <v>950040238</v>
      </c>
      <c r="B7309" t="str">
        <f>"EHPAD RESIDENCE LES MAGNOLIAS"</f>
        <v>EHPAD RESIDENCE LES MAGNOLIAS</v>
      </c>
      <c r="C7309" t="s">
        <v>71</v>
      </c>
    </row>
    <row r="7310" spans="1:3" x14ac:dyDescent="0.25">
      <c r="A7310" t="str">
        <f>"950046946"</f>
        <v>950046946</v>
      </c>
      <c r="B7310" t="str">
        <f>"EHPAD ADELAIDE HAUTVAL"</f>
        <v>EHPAD ADELAIDE HAUTVAL</v>
      </c>
      <c r="C7310" t="s">
        <v>71</v>
      </c>
    </row>
    <row r="7311" spans="1:3" x14ac:dyDescent="0.25">
      <c r="A7311" t="str">
        <f>"950130021"</f>
        <v>950130021</v>
      </c>
      <c r="B7311" t="str">
        <f>"EHPAD LE VAL D YSIEUX"</f>
        <v>EHPAD LE VAL D YSIEUX</v>
      </c>
      <c r="C7311" t="s">
        <v>71</v>
      </c>
    </row>
    <row r="7312" spans="1:3" x14ac:dyDescent="0.25">
      <c r="A7312" t="str">
        <f>"950460022"</f>
        <v>950460022</v>
      </c>
      <c r="B7312" t="str">
        <f>"EHPAD RESIDENCE MONTJOIE"</f>
        <v>EHPAD RESIDENCE MONTJOIE</v>
      </c>
      <c r="C7312" t="s">
        <v>71</v>
      </c>
    </row>
    <row r="7313" spans="1:3" x14ac:dyDescent="0.25">
      <c r="A7313" t="str">
        <f>"950780304"</f>
        <v>950780304</v>
      </c>
      <c r="B7313" t="str">
        <f>"EHPAD RESIDENCE FLORENCE NIGHTINGALE"</f>
        <v>EHPAD RESIDENCE FLORENCE NIGHTINGALE</v>
      </c>
      <c r="C7313" t="s">
        <v>71</v>
      </c>
    </row>
    <row r="7314" spans="1:3" x14ac:dyDescent="0.25">
      <c r="A7314" t="str">
        <f>"950780312"</f>
        <v>950780312</v>
      </c>
      <c r="B7314" t="str">
        <f>"EHPAD RESIDENCE DE LA RUE JOHN LENNON"</f>
        <v>EHPAD RESIDENCE DE LA RUE JOHN LENNON</v>
      </c>
      <c r="C7314" t="s">
        <v>71</v>
      </c>
    </row>
    <row r="7315" spans="1:3" x14ac:dyDescent="0.25">
      <c r="A7315" t="str">
        <f>"950780338"</f>
        <v>950780338</v>
      </c>
      <c r="B7315" t="str">
        <f>"EHPAD RESIDENCE ARMENIENNE"</f>
        <v>EHPAD RESIDENCE ARMENIENNE</v>
      </c>
      <c r="C7315" t="s">
        <v>71</v>
      </c>
    </row>
    <row r="7316" spans="1:3" x14ac:dyDescent="0.25">
      <c r="A7316" t="str">
        <f>"950780353"</f>
        <v>950780353</v>
      </c>
      <c r="B7316" t="str">
        <f>"EHPAD RESIDENCE BELLEFONTAINE"</f>
        <v>EHPAD RESIDENCE BELLEFONTAINE</v>
      </c>
      <c r="C7316" t="s">
        <v>71</v>
      </c>
    </row>
    <row r="7317" spans="1:3" x14ac:dyDescent="0.25">
      <c r="A7317" t="str">
        <f>"950780395"</f>
        <v>950780395</v>
      </c>
      <c r="B7317" t="str">
        <f>"EHPAD RESIDENCE ZEMGOR"</f>
        <v>EHPAD RESIDENCE ZEMGOR</v>
      </c>
      <c r="C7317" t="s">
        <v>71</v>
      </c>
    </row>
    <row r="7318" spans="1:3" x14ac:dyDescent="0.25">
      <c r="A7318" t="str">
        <f>"950780551"</f>
        <v>950780551</v>
      </c>
      <c r="B7318" t="str">
        <f>"EHPAD VILLA BEAUSOLEIL"</f>
        <v>EHPAD VILLA BEAUSOLEIL</v>
      </c>
      <c r="C7318" t="s">
        <v>71</v>
      </c>
    </row>
    <row r="7319" spans="1:3" x14ac:dyDescent="0.25">
      <c r="A7319" t="str">
        <f>"950781500"</f>
        <v>950781500</v>
      </c>
      <c r="B7319" t="str">
        <f>"EHPAD JACQUES ACHARD"</f>
        <v>EHPAD JACQUES ACHARD</v>
      </c>
      <c r="C7319" t="s">
        <v>71</v>
      </c>
    </row>
    <row r="7320" spans="1:3" x14ac:dyDescent="0.25">
      <c r="A7320" t="str">
        <f>"950781690"</f>
        <v>950781690</v>
      </c>
      <c r="B7320" t="str">
        <f>"EHPAD LA RUE AUX FEES"</f>
        <v>EHPAD LA RUE AUX FEES</v>
      </c>
      <c r="C7320" t="s">
        <v>71</v>
      </c>
    </row>
    <row r="7321" spans="1:3" x14ac:dyDescent="0.25">
      <c r="A7321" t="str">
        <f>"950783423"</f>
        <v>950783423</v>
      </c>
      <c r="B7321" t="str">
        <f>"EHPAD QUAI DES BRUMES"</f>
        <v>EHPAD QUAI DES BRUMES</v>
      </c>
      <c r="C7321" t="s">
        <v>71</v>
      </c>
    </row>
    <row r="7322" spans="1:3" x14ac:dyDescent="0.25">
      <c r="A7322" t="str">
        <f>"950783431"</f>
        <v>950783431</v>
      </c>
      <c r="B7322" t="str">
        <f>"EHPAD RESIDENCE LOUIS GRASSI"</f>
        <v>EHPAD RESIDENCE LOUIS GRASSI</v>
      </c>
      <c r="C7322" t="s">
        <v>71</v>
      </c>
    </row>
    <row r="7323" spans="1:3" x14ac:dyDescent="0.25">
      <c r="A7323" t="str">
        <f>"950783464"</f>
        <v>950783464</v>
      </c>
      <c r="B7323" t="str">
        <f>"EHPAD CHABRAND THIBAULT"</f>
        <v>EHPAD CHABRAND THIBAULT</v>
      </c>
      <c r="C7323" t="s">
        <v>71</v>
      </c>
    </row>
    <row r="7324" spans="1:3" x14ac:dyDescent="0.25">
      <c r="A7324" t="str">
        <f>"950783514"</f>
        <v>950783514</v>
      </c>
      <c r="B7324" t="str">
        <f>"EHPAD LE CLOS DES LILAS"</f>
        <v>EHPAD LE CLOS DES LILAS</v>
      </c>
      <c r="C7324" t="s">
        <v>71</v>
      </c>
    </row>
    <row r="7325" spans="1:3" x14ac:dyDescent="0.25">
      <c r="A7325" t="str">
        <f>"950800227"</f>
        <v>950800227</v>
      </c>
      <c r="B7325" t="str">
        <f>"EHPAD LE CASTEL"</f>
        <v>EHPAD LE CASTEL</v>
      </c>
      <c r="C7325" t="s">
        <v>71</v>
      </c>
    </row>
    <row r="7326" spans="1:3" x14ac:dyDescent="0.25">
      <c r="A7326" t="str">
        <f>"950800243"</f>
        <v>950800243</v>
      </c>
      <c r="B7326" t="str">
        <f>"EHPAD RESIDENCE LE PARC FLEURI"</f>
        <v>EHPAD RESIDENCE LE PARC FLEURI</v>
      </c>
      <c r="C7326" t="s">
        <v>71</v>
      </c>
    </row>
    <row r="7327" spans="1:3" x14ac:dyDescent="0.25">
      <c r="A7327" t="str">
        <f>"950800250"</f>
        <v>950800250</v>
      </c>
      <c r="B7327" t="str">
        <f>"EHPAD ANNIE BEAUCHAIS"</f>
        <v>EHPAD ANNIE BEAUCHAIS</v>
      </c>
      <c r="C7327" t="s">
        <v>71</v>
      </c>
    </row>
    <row r="7328" spans="1:3" x14ac:dyDescent="0.25">
      <c r="A7328" t="str">
        <f>"950801381"</f>
        <v>950801381</v>
      </c>
      <c r="B7328" t="str">
        <f>"EHPAD LES JARDINS D'ENNERY"</f>
        <v>EHPAD LES JARDINS D'ENNERY</v>
      </c>
      <c r="C7328" t="s">
        <v>71</v>
      </c>
    </row>
    <row r="7329" spans="1:3" x14ac:dyDescent="0.25">
      <c r="A7329" t="str">
        <f>"950801415"</f>
        <v>950801415</v>
      </c>
      <c r="B7329" t="str">
        <f>"EHPAD CH GONESSE"</f>
        <v>EHPAD CH GONESSE</v>
      </c>
      <c r="C7329" t="s">
        <v>71</v>
      </c>
    </row>
    <row r="7330" spans="1:3" x14ac:dyDescent="0.25">
      <c r="A7330" t="str">
        <f>"950801449"</f>
        <v>950801449</v>
      </c>
      <c r="B7330" t="str">
        <f>"EHPAD SAINT LAURENT HOPITAL NOVO"</f>
        <v>EHPAD SAINT LAURENT HOPITAL NOVO</v>
      </c>
      <c r="C7330" t="s">
        <v>71</v>
      </c>
    </row>
    <row r="7331" spans="1:3" x14ac:dyDescent="0.25">
      <c r="A7331" t="str">
        <f>"950801563"</f>
        <v>950801563</v>
      </c>
      <c r="B7331" t="str">
        <f>"EHPAD LES COTEAUX"</f>
        <v>EHPAD LES COTEAUX</v>
      </c>
      <c r="C7331" t="s">
        <v>71</v>
      </c>
    </row>
    <row r="7332" spans="1:3" x14ac:dyDescent="0.25">
      <c r="A7332" t="str">
        <f>"950801597"</f>
        <v>950801597</v>
      </c>
      <c r="B7332" t="str">
        <f>"EHPAD DE MAGNY"</f>
        <v>EHPAD DE MAGNY</v>
      </c>
      <c r="C7332" t="s">
        <v>71</v>
      </c>
    </row>
    <row r="7333" spans="1:3" x14ac:dyDescent="0.25">
      <c r="A7333" t="str">
        <f>"950801621"</f>
        <v>950801621</v>
      </c>
      <c r="B7333" t="str">
        <f>"EHPAD SAINT LOUIS"</f>
        <v>EHPAD SAINT LOUIS</v>
      </c>
      <c r="C7333" t="s">
        <v>71</v>
      </c>
    </row>
    <row r="7334" spans="1:3" x14ac:dyDescent="0.25">
      <c r="A7334" t="str">
        <f>"950801977"</f>
        <v>950801977</v>
      </c>
      <c r="B7334" t="str">
        <f>"EHPAD RESIDENCE LE BOISQUILLON"</f>
        <v>EHPAD RESIDENCE LE BOISQUILLON</v>
      </c>
      <c r="C7334" t="s">
        <v>71</v>
      </c>
    </row>
    <row r="7335" spans="1:3" x14ac:dyDescent="0.25">
      <c r="A7335" t="str">
        <f>"950802066"</f>
        <v>950802066</v>
      </c>
      <c r="B7335" t="str">
        <f>"EHPAD YVONNE DE GAULLE"</f>
        <v>EHPAD YVONNE DE GAULLE</v>
      </c>
      <c r="C7335" t="s">
        <v>71</v>
      </c>
    </row>
    <row r="7336" spans="1:3" x14ac:dyDescent="0.25">
      <c r="A7336" t="str">
        <f>"950802488"</f>
        <v>950802488</v>
      </c>
      <c r="B7336" t="str">
        <f>"EHPAD  VAL NOTRE DAME"</f>
        <v>EHPAD  VAL NOTRE DAME</v>
      </c>
      <c r="C7336" t="s">
        <v>71</v>
      </c>
    </row>
    <row r="7337" spans="1:3" x14ac:dyDescent="0.25">
      <c r="A7337" t="str">
        <f>"950802496"</f>
        <v>950802496</v>
      </c>
      <c r="B7337" t="str">
        <f>"EHPAD RESIDENCE LES PENSEES"</f>
        <v>EHPAD RESIDENCE LES PENSEES</v>
      </c>
      <c r="C7337" t="s">
        <v>71</v>
      </c>
    </row>
    <row r="7338" spans="1:3" x14ac:dyDescent="0.25">
      <c r="A7338" t="str">
        <f>"950802504"</f>
        <v>950802504</v>
      </c>
      <c r="B7338" t="str">
        <f>"EHPAD LA COMMANDERIE DES HOSPITALIERS"</f>
        <v>EHPAD LA COMMANDERIE DES HOSPITALIERS</v>
      </c>
      <c r="C7338" t="s">
        <v>71</v>
      </c>
    </row>
    <row r="7339" spans="1:3" x14ac:dyDescent="0.25">
      <c r="A7339" t="str">
        <f>"950802520"</f>
        <v>950802520</v>
      </c>
      <c r="B7339" t="str">
        <f>"EHPAD LA CERISAIE"</f>
        <v>EHPAD LA CERISAIE</v>
      </c>
      <c r="C7339" t="s">
        <v>71</v>
      </c>
    </row>
    <row r="7340" spans="1:3" x14ac:dyDescent="0.25">
      <c r="A7340" t="str">
        <f>"950802546"</f>
        <v>950802546</v>
      </c>
      <c r="B7340" t="str">
        <f>"EHPAD CHATEAU SAINT VALERY"</f>
        <v>EHPAD CHATEAU SAINT VALERY</v>
      </c>
      <c r="C7340" t="s">
        <v>71</v>
      </c>
    </row>
    <row r="7341" spans="1:3" x14ac:dyDescent="0.25">
      <c r="A7341" t="str">
        <f>"950802553"</f>
        <v>950802553</v>
      </c>
      <c r="B7341" t="str">
        <f>"EHPAD VILLA JEANNE D ARC"</f>
        <v>EHPAD VILLA JEANNE D ARC</v>
      </c>
      <c r="C7341" t="s">
        <v>71</v>
      </c>
    </row>
    <row r="7342" spans="1:3" x14ac:dyDescent="0.25">
      <c r="A7342" t="str">
        <f>"950802579"</f>
        <v>950802579</v>
      </c>
      <c r="B7342" t="str">
        <f>"EHPAD RESIDENCE LES TAMARIS"</f>
        <v>EHPAD RESIDENCE LES TAMARIS</v>
      </c>
      <c r="C7342" t="s">
        <v>71</v>
      </c>
    </row>
    <row r="7343" spans="1:3" x14ac:dyDescent="0.25">
      <c r="A7343" t="str">
        <f>"950802660"</f>
        <v>950802660</v>
      </c>
      <c r="B7343" t="str">
        <f>"EHPAD DONATION BRIERE"</f>
        <v>EHPAD DONATION BRIERE</v>
      </c>
      <c r="C7343" t="s">
        <v>71</v>
      </c>
    </row>
    <row r="7344" spans="1:3" x14ac:dyDescent="0.25">
      <c r="A7344" t="str">
        <f>"950802686"</f>
        <v>950802686</v>
      </c>
      <c r="B7344" t="str">
        <f>"EHPAD WALLON"</f>
        <v>EHPAD WALLON</v>
      </c>
      <c r="C7344" t="s">
        <v>71</v>
      </c>
    </row>
    <row r="7345" spans="1:3" x14ac:dyDescent="0.25">
      <c r="A7345" t="str">
        <f>"950805796"</f>
        <v>950805796</v>
      </c>
      <c r="B7345" t="str">
        <f>"EHPAD JEANNE CALLAREC"</f>
        <v>EHPAD JEANNE CALLAREC</v>
      </c>
      <c r="C7345" t="s">
        <v>71</v>
      </c>
    </row>
    <row r="7346" spans="1:3" x14ac:dyDescent="0.25">
      <c r="A7346" t="str">
        <f>"950805978"</f>
        <v>950805978</v>
      </c>
      <c r="B7346" t="str">
        <f>"EHPAD RESIDENCE RACHEL"</f>
        <v>EHPAD RESIDENCE RACHEL</v>
      </c>
      <c r="C7346" t="s">
        <v>71</v>
      </c>
    </row>
    <row r="7347" spans="1:3" x14ac:dyDescent="0.25">
      <c r="A7347" t="str">
        <f>"950805986"</f>
        <v>950805986</v>
      </c>
      <c r="B7347" t="str">
        <f>"EHPAD JULES FOSSIER"</f>
        <v>EHPAD JULES FOSSIER</v>
      </c>
      <c r="C7347" t="s">
        <v>71</v>
      </c>
    </row>
    <row r="7348" spans="1:3" x14ac:dyDescent="0.25">
      <c r="A7348" t="str">
        <f>"950806315"</f>
        <v>950806315</v>
      </c>
      <c r="B7348" t="str">
        <f>"LA MAISON DE THELEME"</f>
        <v>LA MAISON DE THELEME</v>
      </c>
      <c r="C7348" t="s">
        <v>71</v>
      </c>
    </row>
    <row r="7349" spans="1:3" x14ac:dyDescent="0.25">
      <c r="A7349" t="str">
        <f>"950806331"</f>
        <v>950806331</v>
      </c>
      <c r="B7349" t="str">
        <f>"EHPAD RESIDENCE L'EGLANTIER"</f>
        <v>EHPAD RESIDENCE L'EGLANTIER</v>
      </c>
      <c r="C7349" t="s">
        <v>71</v>
      </c>
    </row>
    <row r="7350" spans="1:3" x14ac:dyDescent="0.25">
      <c r="A7350" t="str">
        <f>"950806752"</f>
        <v>950806752</v>
      </c>
      <c r="B7350" t="str">
        <f>"EHPAD PIERRE CAMPAGNAC"</f>
        <v>EHPAD PIERRE CAMPAGNAC</v>
      </c>
      <c r="C7350" t="s">
        <v>71</v>
      </c>
    </row>
    <row r="7351" spans="1:3" x14ac:dyDescent="0.25">
      <c r="A7351" t="str">
        <f>"950806950"</f>
        <v>950806950</v>
      </c>
      <c r="B7351" t="str">
        <f>"EHPAD LES CHARMILLES"</f>
        <v>EHPAD LES CHARMILLES</v>
      </c>
      <c r="C7351" t="s">
        <v>71</v>
      </c>
    </row>
    <row r="7352" spans="1:3" x14ac:dyDescent="0.25">
      <c r="A7352" t="str">
        <f>"950806984"</f>
        <v>950806984</v>
      </c>
      <c r="B7352" t="str">
        <f>"EHPAD VAL DE FRANCE"</f>
        <v>EHPAD VAL DE FRANCE</v>
      </c>
      <c r="C7352" t="s">
        <v>71</v>
      </c>
    </row>
    <row r="7353" spans="1:3" x14ac:dyDescent="0.25">
      <c r="A7353" t="str">
        <f>"950807172"</f>
        <v>950807172</v>
      </c>
      <c r="B7353" t="str">
        <f>"EHPAD RESIDENCE LA CHATAIGNERAIE"</f>
        <v>EHPAD RESIDENCE LA CHATAIGNERAIE</v>
      </c>
      <c r="C7353" t="s">
        <v>71</v>
      </c>
    </row>
    <row r="7354" spans="1:3" x14ac:dyDescent="0.25">
      <c r="A7354" t="str">
        <f>"950807206"</f>
        <v>950807206</v>
      </c>
      <c r="B7354" t="str">
        <f>"EHPAD LES JARDINS D IROISE DE ST GRATI"</f>
        <v>EHPAD LES JARDINS D IROISE DE ST GRATI</v>
      </c>
      <c r="C7354" t="s">
        <v>71</v>
      </c>
    </row>
    <row r="7355" spans="1:3" x14ac:dyDescent="0.25">
      <c r="A7355" t="str">
        <f>"950807263"</f>
        <v>950807263</v>
      </c>
      <c r="B7355" t="str">
        <f>"EHPAD RESIDENCE DU MANOIR"</f>
        <v>EHPAD RESIDENCE DU MANOIR</v>
      </c>
      <c r="C7355" t="s">
        <v>71</v>
      </c>
    </row>
    <row r="7356" spans="1:3" x14ac:dyDescent="0.25">
      <c r="A7356" t="str">
        <f>"950807271"</f>
        <v>950807271</v>
      </c>
      <c r="B7356" t="str">
        <f>"EHPAD KORIAN LES MERLETTES"</f>
        <v>EHPAD KORIAN LES MERLETTES</v>
      </c>
      <c r="C7356" t="s">
        <v>71</v>
      </c>
    </row>
    <row r="7357" spans="1:3" x14ac:dyDescent="0.25">
      <c r="A7357" t="str">
        <f>"950807388"</f>
        <v>950807388</v>
      </c>
      <c r="B7357" t="str">
        <f>"EHPAD RESIDENCE LE VILLAGE"</f>
        <v>EHPAD RESIDENCE LE VILLAGE</v>
      </c>
      <c r="C7357" t="s">
        <v>71</v>
      </c>
    </row>
    <row r="7358" spans="1:3" x14ac:dyDescent="0.25">
      <c r="A7358" t="str">
        <f>"950807404"</f>
        <v>950807404</v>
      </c>
      <c r="B7358" t="str">
        <f>"EHPAD DOMAINE SAINT PRY"</f>
        <v>EHPAD DOMAINE SAINT PRY</v>
      </c>
      <c r="C7358" t="s">
        <v>71</v>
      </c>
    </row>
    <row r="7359" spans="1:3" x14ac:dyDescent="0.25">
      <c r="A7359" t="str">
        <f>"950807412"</f>
        <v>950807412</v>
      </c>
      <c r="B7359" t="str">
        <f>"EHPAD LE MENHIR"</f>
        <v>EHPAD LE MENHIR</v>
      </c>
      <c r="C7359" t="s">
        <v>71</v>
      </c>
    </row>
    <row r="7360" spans="1:3" x14ac:dyDescent="0.25">
      <c r="A7360" t="str">
        <f>"950807420"</f>
        <v>950807420</v>
      </c>
      <c r="B7360" t="str">
        <f>"EHPAD RESIDENCE ARPAVIE D'ENGHIEN"</f>
        <v>EHPAD RESIDENCE ARPAVIE D'ENGHIEN</v>
      </c>
      <c r="C7360" t="s">
        <v>71</v>
      </c>
    </row>
    <row r="7361" spans="1:3" x14ac:dyDescent="0.25">
      <c r="A7361" t="str">
        <f>"950807479"</f>
        <v>950807479</v>
      </c>
      <c r="B7361" t="str">
        <f>"EHPAD SAINTE GENEVIEVE"</f>
        <v>EHPAD SAINTE GENEVIEVE</v>
      </c>
      <c r="C7361" t="s">
        <v>71</v>
      </c>
    </row>
    <row r="7362" spans="1:3" x14ac:dyDescent="0.25">
      <c r="A7362" t="str">
        <f>"950807529"</f>
        <v>950807529</v>
      </c>
      <c r="B7362" t="str">
        <f>"EHPAD RESIDENCE DU VEXIN"</f>
        <v>EHPAD RESIDENCE DU VEXIN</v>
      </c>
      <c r="C7362" t="s">
        <v>71</v>
      </c>
    </row>
    <row r="7363" spans="1:3" x14ac:dyDescent="0.25">
      <c r="A7363" t="str">
        <f>"950807537"</f>
        <v>950807537</v>
      </c>
      <c r="B7363" t="str">
        <f>"EHPAD LE PATIO"</f>
        <v>EHPAD LE PATIO</v>
      </c>
      <c r="C7363" t="s">
        <v>71</v>
      </c>
    </row>
    <row r="7364" spans="1:3" x14ac:dyDescent="0.25">
      <c r="A7364" t="str">
        <f>"950807545"</f>
        <v>950807545</v>
      </c>
      <c r="B7364" t="str">
        <f>"EHPAD KORIAN HAUTS D ANDILLY"</f>
        <v>EHPAD KORIAN HAUTS D ANDILLY</v>
      </c>
      <c r="C7364" t="s">
        <v>71</v>
      </c>
    </row>
    <row r="7365" spans="1:3" x14ac:dyDescent="0.25">
      <c r="A7365" t="str">
        <f>"950807602"</f>
        <v>950807602</v>
      </c>
      <c r="B7365" t="str">
        <f>"EHPAD RESIDENCE LE GRAND CLOS"</f>
        <v>EHPAD RESIDENCE LE GRAND CLOS</v>
      </c>
      <c r="C7365" t="s">
        <v>71</v>
      </c>
    </row>
    <row r="7366" spans="1:3" x14ac:dyDescent="0.25">
      <c r="A7366" t="str">
        <f>"950807826"</f>
        <v>950807826</v>
      </c>
      <c r="B7366" t="str">
        <f>"EHPAD LE PAVILLON DES ARTS"</f>
        <v>EHPAD LE PAVILLON DES ARTS</v>
      </c>
      <c r="C7366" t="s">
        <v>71</v>
      </c>
    </row>
    <row r="7367" spans="1:3" x14ac:dyDescent="0.25">
      <c r="A7367" t="str">
        <f>"950808469"</f>
        <v>950808469</v>
      </c>
      <c r="B7367" t="str">
        <f>"EHPAD RESIDENCE LES SANSONNETS"</f>
        <v>EHPAD RESIDENCE LES SANSONNETS</v>
      </c>
      <c r="C7367" t="s">
        <v>71</v>
      </c>
    </row>
    <row r="7368" spans="1:3" x14ac:dyDescent="0.25">
      <c r="A7368" t="str">
        <f>"950808519"</f>
        <v>950808519</v>
      </c>
      <c r="B7368" t="str">
        <f>"EHPAD MAISON DU PARC"</f>
        <v>EHPAD MAISON DU PARC</v>
      </c>
      <c r="C7368" t="s">
        <v>71</v>
      </c>
    </row>
    <row r="7369" spans="1:3" x14ac:dyDescent="0.25">
      <c r="A7369" t="str">
        <f>"950808956"</f>
        <v>950808956</v>
      </c>
      <c r="B7369" t="str">
        <f>"EHPAD KORIAN LA CROISEE BLEUE"</f>
        <v>EHPAD KORIAN LA CROISEE BLEUE</v>
      </c>
      <c r="C7369" t="s">
        <v>71</v>
      </c>
    </row>
    <row r="7370" spans="1:3" x14ac:dyDescent="0.25">
      <c r="A7370" t="str">
        <f>"950809269"</f>
        <v>950809269</v>
      </c>
      <c r="B7370" t="str">
        <f>"EHPAD RESIDENCE ARC EN CIEL"</f>
        <v>EHPAD RESIDENCE ARC EN CIEL</v>
      </c>
      <c r="C7370" t="s">
        <v>71</v>
      </c>
    </row>
    <row r="7371" spans="1:3" x14ac:dyDescent="0.25">
      <c r="A7371" t="str">
        <f>"970108262"</f>
        <v>970108262</v>
      </c>
      <c r="B7371" t="str">
        <f>"E. H. P. A. D. JEREMIE JALTON"</f>
        <v>E. H. P. A. D. JEREMIE JALTON</v>
      </c>
      <c r="C7371" t="s">
        <v>72</v>
      </c>
    </row>
    <row r="7372" spans="1:3" x14ac:dyDescent="0.25">
      <c r="A7372" t="str">
        <f>"970108882"</f>
        <v>970108882</v>
      </c>
      <c r="B7372" t="str">
        <f>"RESIDENCE SENIOR 'LES FLAMBOYANTS'"</f>
        <v>RESIDENCE SENIOR 'LES FLAMBOYANTS'</v>
      </c>
      <c r="C7372" t="s">
        <v>72</v>
      </c>
    </row>
    <row r="7373" spans="1:3" x14ac:dyDescent="0.25">
      <c r="A7373" t="str">
        <f>"970108890"</f>
        <v>970108890</v>
      </c>
      <c r="B7373" t="str">
        <f>"E.H.P.A.D. BETHANY HOME"</f>
        <v>E.H.P.A.D. BETHANY HOME</v>
      </c>
      <c r="C7373" t="s">
        <v>72</v>
      </c>
    </row>
    <row r="7374" spans="1:3" x14ac:dyDescent="0.25">
      <c r="A7374" t="str">
        <f>"970108908"</f>
        <v>970108908</v>
      </c>
      <c r="B7374" t="str">
        <f>"E.H.P.A.D. C.H.G. JACQUES SALIN"</f>
        <v>E.H.P.A.D. C.H.G. JACQUES SALIN</v>
      </c>
      <c r="C7374" t="s">
        <v>72</v>
      </c>
    </row>
    <row r="7375" spans="1:3" x14ac:dyDescent="0.25">
      <c r="A7375" t="str">
        <f>"970109302"</f>
        <v>970109302</v>
      </c>
      <c r="B7375" t="str">
        <f>"E.H.P.A.D. SOLEYANOU"</f>
        <v>E.H.P.A.D. SOLEYANOU</v>
      </c>
      <c r="C7375" t="s">
        <v>72</v>
      </c>
    </row>
    <row r="7376" spans="1:3" x14ac:dyDescent="0.25">
      <c r="A7376" t="str">
        <f>"970109310"</f>
        <v>970109310</v>
      </c>
      <c r="B7376" t="str">
        <f>"E.H.P.A.D. KALANA"</f>
        <v>E.H.P.A.D. KALANA</v>
      </c>
      <c r="C7376" t="s">
        <v>72</v>
      </c>
    </row>
    <row r="7377" spans="1:3" x14ac:dyDescent="0.25">
      <c r="A7377" t="str">
        <f>"970109658"</f>
        <v>970109658</v>
      </c>
      <c r="B7377" t="str">
        <f>"E.H.P.A.D. RESIDENCE EMERAUDE"</f>
        <v>E.H.P.A.D. RESIDENCE EMERAUDE</v>
      </c>
      <c r="C7377" t="s">
        <v>72</v>
      </c>
    </row>
    <row r="7378" spans="1:3" x14ac:dyDescent="0.25">
      <c r="A7378" t="str">
        <f>"970109807"</f>
        <v>970109807</v>
      </c>
      <c r="B7378" t="str">
        <f>"RES. MEDICO-SLE DE MARIE-GALANTE-EHPAD"</f>
        <v>RES. MEDICO-SLE DE MARIE-GALANTE-EHPAD</v>
      </c>
      <c r="C7378" t="s">
        <v>72</v>
      </c>
    </row>
    <row r="7379" spans="1:3" x14ac:dyDescent="0.25">
      <c r="A7379" t="str">
        <f>"970109856"</f>
        <v>970109856</v>
      </c>
      <c r="B7379" t="str">
        <f>"L'OASIS DE BOIS JOLAN"</f>
        <v>L'OASIS DE BOIS JOLAN</v>
      </c>
      <c r="C7379" t="s">
        <v>72</v>
      </c>
    </row>
    <row r="7380" spans="1:3" x14ac:dyDescent="0.25">
      <c r="A7380" t="str">
        <f>"970109880"</f>
        <v>970109880</v>
      </c>
      <c r="B7380" t="str">
        <f>"RESIDENCE SACRÉ COEUR"</f>
        <v>RESIDENCE SACRÉ COEUR</v>
      </c>
      <c r="C7380" t="s">
        <v>72</v>
      </c>
    </row>
    <row r="7381" spans="1:3" x14ac:dyDescent="0.25">
      <c r="A7381" t="str">
        <f>"970109971"</f>
        <v>970109971</v>
      </c>
      <c r="B7381" t="str">
        <f>"E.H.P.A.D. LE PARADIS DES AINES"</f>
        <v>E.H.P.A.D. LE PARADIS DES AINES</v>
      </c>
      <c r="C7381" t="s">
        <v>72</v>
      </c>
    </row>
    <row r="7382" spans="1:3" x14ac:dyDescent="0.25">
      <c r="A7382" t="str">
        <f>"970110052"</f>
        <v>970110052</v>
      </c>
      <c r="B7382" t="str">
        <f>"E.H.P.A.D. LES JARDINS DE BELOST"</f>
        <v>E.H.P.A.D. LES JARDINS DE BELOST</v>
      </c>
      <c r="C7382" t="s">
        <v>72</v>
      </c>
    </row>
    <row r="7383" spans="1:3" x14ac:dyDescent="0.25">
      <c r="A7383" t="str">
        <f>"970110078"</f>
        <v>970110078</v>
      </c>
      <c r="B7383" t="str">
        <f>"LES PERLES GRISES"</f>
        <v>LES PERLES GRISES</v>
      </c>
      <c r="C7383" t="s">
        <v>72</v>
      </c>
    </row>
    <row r="7384" spans="1:3" x14ac:dyDescent="0.25">
      <c r="A7384" t="str">
        <f>"970110144"</f>
        <v>970110144</v>
      </c>
      <c r="B7384" t="str">
        <f>"LES ROSES DE LIMA"</f>
        <v>LES ROSES DE LIMA</v>
      </c>
      <c r="C7384" t="s">
        <v>72</v>
      </c>
    </row>
    <row r="7385" spans="1:3" x14ac:dyDescent="0.25">
      <c r="A7385" t="str">
        <f>"970111126"</f>
        <v>970111126</v>
      </c>
      <c r="B7385" t="str">
        <f>"AKAMANMAN"</f>
        <v>AKAMANMAN</v>
      </c>
      <c r="C7385" t="s">
        <v>72</v>
      </c>
    </row>
    <row r="7386" spans="1:3" x14ac:dyDescent="0.25">
      <c r="A7386" t="str">
        <f>"970111308"</f>
        <v>970111308</v>
      </c>
      <c r="B7386" t="str">
        <f>"EHPAD LOUIS VIALENC"</f>
        <v>EHPAD LOUIS VIALENC</v>
      </c>
      <c r="C7386" t="s">
        <v>72</v>
      </c>
    </row>
    <row r="7387" spans="1:3" x14ac:dyDescent="0.25">
      <c r="A7387" t="str">
        <f>"970111373"</f>
        <v>970111373</v>
      </c>
      <c r="B7387" t="str">
        <f>"E.H.P.A.D. ST-CHRISTOPHE"</f>
        <v>E.H.P.A.D. ST-CHRISTOPHE</v>
      </c>
      <c r="C7387" t="s">
        <v>72</v>
      </c>
    </row>
    <row r="7388" spans="1:3" x14ac:dyDescent="0.25">
      <c r="A7388" t="str">
        <f>"970111381"</f>
        <v>970111381</v>
      </c>
      <c r="B7388" t="str">
        <f>"E.H.P.A.D. DOMAINE DE CHOISY"</f>
        <v>E.H.P.A.D. DOMAINE DE CHOISY</v>
      </c>
      <c r="C7388" t="s">
        <v>72</v>
      </c>
    </row>
    <row r="7389" spans="1:3" x14ac:dyDescent="0.25">
      <c r="A7389" t="str">
        <f>"970111399"</f>
        <v>970111399</v>
      </c>
      <c r="B7389" t="str">
        <f>"E.H.P.A.D. LES NOUVELLES EAUX MARINES"</f>
        <v>E.H.P.A.D. LES NOUVELLES EAUX MARINES</v>
      </c>
      <c r="C7389" t="s">
        <v>72</v>
      </c>
    </row>
    <row r="7390" spans="1:3" x14ac:dyDescent="0.25">
      <c r="A7390" t="str">
        <f>"970111415"</f>
        <v>970111415</v>
      </c>
      <c r="B7390" t="str">
        <f>"E.H.P.A.D. NOU GRAN MOUN"</f>
        <v>E.H.P.A.D. NOU GRAN MOUN</v>
      </c>
      <c r="C7390" t="s">
        <v>72</v>
      </c>
    </row>
    <row r="7391" spans="1:3" x14ac:dyDescent="0.25">
      <c r="A7391" t="str">
        <f>"970111779"</f>
        <v>970111779</v>
      </c>
      <c r="B7391" t="str">
        <f>"SOLEYANOU EHPAD DU MOULE"</f>
        <v>SOLEYANOU EHPAD DU MOULE</v>
      </c>
      <c r="C7391" t="s">
        <v>72</v>
      </c>
    </row>
    <row r="7392" spans="1:3" x14ac:dyDescent="0.25">
      <c r="A7392" t="str">
        <f>"970113106"</f>
        <v>970113106</v>
      </c>
      <c r="B7392" t="str">
        <f>"EHPAD CHG JACQUES SALIN"</f>
        <v>EHPAD CHG JACQUES SALIN</v>
      </c>
      <c r="C7392" t="s">
        <v>72</v>
      </c>
    </row>
    <row r="7393" spans="1:3" x14ac:dyDescent="0.25">
      <c r="A7393" t="str">
        <f>"970202230"</f>
        <v>970202230</v>
      </c>
      <c r="B7393" t="str">
        <f>"EHPAD LES FILAOS - MARCEL HARDY"</f>
        <v>EHPAD LES FILAOS - MARCEL HARDY</v>
      </c>
      <c r="C7393" t="s">
        <v>73</v>
      </c>
    </row>
    <row r="7394" spans="1:3" x14ac:dyDescent="0.25">
      <c r="A7394" t="str">
        <f>"970202982"</f>
        <v>970202982</v>
      </c>
      <c r="B7394" t="str">
        <f>"EHPAD LES GLIRICIDIAS"</f>
        <v>EHPAD LES GLIRICIDIAS</v>
      </c>
      <c r="C7394" t="s">
        <v>73</v>
      </c>
    </row>
    <row r="7395" spans="1:3" x14ac:dyDescent="0.25">
      <c r="A7395" t="str">
        <f>"970203022"</f>
        <v>970203022</v>
      </c>
      <c r="B7395" t="str">
        <f>"EHPAD LOGIS SAINT JEAN"</f>
        <v>EHPAD LOGIS SAINT JEAN</v>
      </c>
      <c r="C7395" t="s">
        <v>73</v>
      </c>
    </row>
    <row r="7396" spans="1:3" x14ac:dyDescent="0.25">
      <c r="A7396" t="str">
        <f>"970203030"</f>
        <v>970203030</v>
      </c>
      <c r="B7396" t="str">
        <f>"EHPAD BETHLEEM"</f>
        <v>EHPAD BETHLEEM</v>
      </c>
      <c r="C7396" t="s">
        <v>73</v>
      </c>
    </row>
    <row r="7397" spans="1:3" x14ac:dyDescent="0.25">
      <c r="A7397" t="str">
        <f>"970203048"</f>
        <v>970203048</v>
      </c>
      <c r="B7397" t="str">
        <f>"EHPAD LES MADRÉPORES"</f>
        <v>EHPAD LES MADRÉPORES</v>
      </c>
      <c r="C7397" t="s">
        <v>73</v>
      </c>
    </row>
    <row r="7398" spans="1:3" x14ac:dyDescent="0.25">
      <c r="A7398" t="str">
        <f>"970203063"</f>
        <v>970203063</v>
      </c>
      <c r="B7398" t="str">
        <f>"E.H.P.A.D. HENRI BOURGEOIS"</f>
        <v>E.H.P.A.D. HENRI BOURGEOIS</v>
      </c>
      <c r="C7398" t="s">
        <v>73</v>
      </c>
    </row>
    <row r="7399" spans="1:3" x14ac:dyDescent="0.25">
      <c r="A7399" t="str">
        <f>"970203782"</f>
        <v>970203782</v>
      </c>
      <c r="B7399" t="str">
        <f>"EHPAD DU MARIN"</f>
        <v>EHPAD DU MARIN</v>
      </c>
      <c r="C7399" t="s">
        <v>73</v>
      </c>
    </row>
    <row r="7400" spans="1:3" x14ac:dyDescent="0.25">
      <c r="A7400" t="str">
        <f>"970204194"</f>
        <v>970204194</v>
      </c>
      <c r="B7400" t="str">
        <f>"EHPAD DU CH DU SAINT ESPRIT"</f>
        <v>EHPAD DU CH DU SAINT ESPRIT</v>
      </c>
      <c r="C7400" t="s">
        <v>73</v>
      </c>
    </row>
    <row r="7401" spans="1:3" x14ac:dyDescent="0.25">
      <c r="A7401" t="str">
        <f>"970204202"</f>
        <v>970204202</v>
      </c>
      <c r="B7401" t="str">
        <f>"EHPAD CENTRE HOSPITALIER DU FRANÇOIS"</f>
        <v>EHPAD CENTRE HOSPITALIER DU FRANÇOIS</v>
      </c>
      <c r="C7401" t="s">
        <v>73</v>
      </c>
    </row>
    <row r="7402" spans="1:3" x14ac:dyDescent="0.25">
      <c r="A7402" t="str">
        <f>"970204293"</f>
        <v>970204293</v>
      </c>
      <c r="B7402" t="str">
        <f>"EHPAD DU CH DE SAINT JOSEPH"</f>
        <v>EHPAD DU CH DE SAINT JOSEPH</v>
      </c>
      <c r="C7402" t="s">
        <v>73</v>
      </c>
    </row>
    <row r="7403" spans="1:3" x14ac:dyDescent="0.25">
      <c r="A7403" t="str">
        <f>"970204327"</f>
        <v>970204327</v>
      </c>
      <c r="B7403" t="str">
        <f>"EHPAD DES TROIS ILETS"</f>
        <v>EHPAD DES TROIS ILETS</v>
      </c>
      <c r="C7403" t="s">
        <v>73</v>
      </c>
    </row>
    <row r="7404" spans="1:3" x14ac:dyDescent="0.25">
      <c r="A7404" t="str">
        <f>"970206140"</f>
        <v>970206140</v>
      </c>
      <c r="B7404" t="str">
        <f>"EHPAD RÉSIDENCE 'LE BEAU SÉJOUR'"</f>
        <v>EHPAD RÉSIDENCE 'LE BEAU SÉJOUR'</v>
      </c>
      <c r="C7404" t="s">
        <v>73</v>
      </c>
    </row>
    <row r="7405" spans="1:3" x14ac:dyDescent="0.25">
      <c r="A7405" t="str">
        <f>"970206330"</f>
        <v>970206330</v>
      </c>
      <c r="B7405" t="str">
        <f>"EHPAD 'LE TEMPS DE VIVRE'"</f>
        <v>EHPAD 'LE TEMPS DE VIVRE'</v>
      </c>
      <c r="C7405" t="s">
        <v>73</v>
      </c>
    </row>
    <row r="7406" spans="1:3" x14ac:dyDescent="0.25">
      <c r="A7406" t="str">
        <f>"970208856"</f>
        <v>970208856</v>
      </c>
      <c r="B7406" t="str">
        <f>"EHPAD RÉSIDENCE L'OASIS"</f>
        <v>EHPAD RÉSIDENCE L'OASIS</v>
      </c>
      <c r="C7406" t="s">
        <v>73</v>
      </c>
    </row>
    <row r="7407" spans="1:3" x14ac:dyDescent="0.25">
      <c r="A7407" t="str">
        <f>"970208948"</f>
        <v>970208948</v>
      </c>
      <c r="B7407" t="str">
        <f>"EHPAD RESIDENCE L'ORCHIDÉE"</f>
        <v>EHPAD RESIDENCE L'ORCHIDÉE</v>
      </c>
      <c r="C7407" t="s">
        <v>73</v>
      </c>
    </row>
    <row r="7408" spans="1:3" x14ac:dyDescent="0.25">
      <c r="A7408" t="str">
        <f>"970209029"</f>
        <v>970209029</v>
      </c>
      <c r="B7408" t="str">
        <f>"EHPAD TERREVILLAGE - GEORGES VATON"</f>
        <v>EHPAD TERREVILLAGE - GEORGES VATON</v>
      </c>
      <c r="C7408" t="s">
        <v>73</v>
      </c>
    </row>
    <row r="7409" spans="1:3" x14ac:dyDescent="0.25">
      <c r="A7409" t="str">
        <f>"970209763"</f>
        <v>970209763</v>
      </c>
      <c r="B7409" t="str">
        <f>"EHPAD MARIE-OLGA ANCET"</f>
        <v>EHPAD MARIE-OLGA ANCET</v>
      </c>
      <c r="C7409" t="s">
        <v>73</v>
      </c>
    </row>
    <row r="7410" spans="1:3" x14ac:dyDescent="0.25">
      <c r="A7410" t="str">
        <f>"970210332"</f>
        <v>970210332</v>
      </c>
      <c r="B7410" t="str">
        <f>"EHPAD RESIDENCE FLOREA SAINT ESPRIT"</f>
        <v>EHPAD RESIDENCE FLOREA SAINT ESPRIT</v>
      </c>
      <c r="C7410" t="s">
        <v>73</v>
      </c>
    </row>
    <row r="7411" spans="1:3" x14ac:dyDescent="0.25">
      <c r="A7411" t="str">
        <f>"970210340"</f>
        <v>970210340</v>
      </c>
      <c r="B7411" t="str">
        <f>"EHPAD RESIDENCE FLOREA ETANG Z'ABRICOT"</f>
        <v>EHPAD RESIDENCE FLOREA ETANG Z'ABRICOT</v>
      </c>
      <c r="C7411" t="s">
        <v>73</v>
      </c>
    </row>
    <row r="7412" spans="1:3" x14ac:dyDescent="0.25">
      <c r="A7412" t="str">
        <f>"970210373"</f>
        <v>970210373</v>
      </c>
      <c r="B7412" t="str">
        <f>"EHPAD RESIDENCE SAINTE HILDEGARDE"</f>
        <v>EHPAD RESIDENCE SAINTE HILDEGARDE</v>
      </c>
      <c r="C7412" t="s">
        <v>73</v>
      </c>
    </row>
    <row r="7413" spans="1:3" x14ac:dyDescent="0.25">
      <c r="A7413" t="str">
        <f>"970210738"</f>
        <v>970210738</v>
      </c>
      <c r="B7413" t="str">
        <f>"EHPAD L' ESPACE GRAN MOUN"</f>
        <v>EHPAD L' ESPACE GRAN MOUN</v>
      </c>
      <c r="C7413" t="s">
        <v>73</v>
      </c>
    </row>
    <row r="7414" spans="1:3" x14ac:dyDescent="0.25">
      <c r="A7414" t="str">
        <f>"970210779"</f>
        <v>970210779</v>
      </c>
      <c r="B7414" t="str">
        <f>"EHPAD DU CH MAURICE DESPINOY"</f>
        <v>EHPAD DU CH MAURICE DESPINOY</v>
      </c>
      <c r="C7414" t="s">
        <v>73</v>
      </c>
    </row>
    <row r="7415" spans="1:3" x14ac:dyDescent="0.25">
      <c r="A7415" t="str">
        <f>"970211181"</f>
        <v>970211181</v>
      </c>
      <c r="B7415" t="str">
        <f>"EHPAD DU PRECHEUR"</f>
        <v>EHPAD DU PRECHEUR</v>
      </c>
      <c r="C7415" t="s">
        <v>73</v>
      </c>
    </row>
    <row r="7416" spans="1:3" x14ac:dyDescent="0.25">
      <c r="A7416" t="str">
        <f>"970211363"</f>
        <v>970211363</v>
      </c>
      <c r="B7416" t="str">
        <f>"EHPAD CENTRE EMMA VENTURA"</f>
        <v>EHPAD CENTRE EMMA VENTURA</v>
      </c>
      <c r="C7416" t="s">
        <v>73</v>
      </c>
    </row>
    <row r="7417" spans="1:3" x14ac:dyDescent="0.25">
      <c r="A7417" t="str">
        <f>"970213260"</f>
        <v>970213260</v>
      </c>
      <c r="B7417" t="str">
        <f>"PETITE UNITÉ DE VIE LES COLIBRIS"</f>
        <v>PETITE UNITÉ DE VIE LES COLIBRIS</v>
      </c>
      <c r="C7417" t="s">
        <v>73</v>
      </c>
    </row>
    <row r="7418" spans="1:3" x14ac:dyDescent="0.25">
      <c r="A7418" t="str">
        <f>"970302014"</f>
        <v>970302014</v>
      </c>
      <c r="B7418" t="str">
        <f>"EHPAD SAINT PAUL"</f>
        <v>EHPAD SAINT PAUL</v>
      </c>
      <c r="C7418" t="s">
        <v>74</v>
      </c>
    </row>
    <row r="7419" spans="1:3" x14ac:dyDescent="0.25">
      <c r="A7419" t="str">
        <f>"970302287"</f>
        <v>970302287</v>
      </c>
      <c r="B7419" t="str">
        <f>"E.H.P.A.D. EDMAR LAMA DE CAYENNE"</f>
        <v>E.H.P.A.D. EDMAR LAMA DE CAYENNE</v>
      </c>
      <c r="C7419" t="s">
        <v>74</v>
      </c>
    </row>
    <row r="7420" spans="1:3" x14ac:dyDescent="0.25">
      <c r="A7420" t="str">
        <f>"970302683"</f>
        <v>970302683</v>
      </c>
      <c r="B7420" t="str">
        <f>"EHPAD DU CHOG"</f>
        <v>EHPAD DU CHOG</v>
      </c>
      <c r="C7420" t="s">
        <v>74</v>
      </c>
    </row>
    <row r="7421" spans="1:3" x14ac:dyDescent="0.25">
      <c r="A7421" t="str">
        <f>"970303822"</f>
        <v>970303822</v>
      </c>
      <c r="B7421" t="str">
        <f>"EHPAD 'L'EBENE'"</f>
        <v>EHPAD 'L'EBENE'</v>
      </c>
      <c r="C7421" t="s">
        <v>74</v>
      </c>
    </row>
    <row r="7422" spans="1:3" x14ac:dyDescent="0.25">
      <c r="A7422" t="str">
        <f>"970402673"</f>
        <v>970402673</v>
      </c>
      <c r="B7422" t="str">
        <f>"E. H. P. A. D.   RESIDENCE LES ALIZES"</f>
        <v>E. H. P. A. D.   RESIDENCE LES ALIZES</v>
      </c>
      <c r="C7422" t="s">
        <v>75</v>
      </c>
    </row>
    <row r="7423" spans="1:3" x14ac:dyDescent="0.25">
      <c r="A7423" t="str">
        <f>"970403622"</f>
        <v>970403622</v>
      </c>
      <c r="B7423" t="str">
        <f>"E.H.P.A.D.  LES LATANIERS (POSSESSION)"</f>
        <v>E.H.P.A.D.  LES LATANIERS (POSSESSION)</v>
      </c>
      <c r="C7423" t="s">
        <v>75</v>
      </c>
    </row>
    <row r="7424" spans="1:3" x14ac:dyDescent="0.25">
      <c r="A7424" t="str">
        <f>"970406013"</f>
        <v>970406013</v>
      </c>
      <c r="B7424" t="str">
        <f>"EHPAD' MARIE FRANCOISE DUPUIS'"</f>
        <v>EHPAD' MARIE FRANCOISE DUPUIS'</v>
      </c>
      <c r="C7424" t="s">
        <v>75</v>
      </c>
    </row>
    <row r="7425" spans="1:3" x14ac:dyDescent="0.25">
      <c r="A7425" t="str">
        <f>"970406021"</f>
        <v>970406021</v>
      </c>
      <c r="B7425" t="str">
        <f>"EHPAD SAINTE CLOTILDE"</f>
        <v>EHPAD SAINTE CLOTILDE</v>
      </c>
      <c r="C7425" t="s">
        <v>75</v>
      </c>
    </row>
    <row r="7426" spans="1:3" x14ac:dyDescent="0.25">
      <c r="A7426" t="str">
        <f>"970406567"</f>
        <v>970406567</v>
      </c>
      <c r="B7426" t="str">
        <f>"E.H.P.A.D. LES HIBISCUS (EPSMR)"</f>
        <v>E.H.P.A.D. LES HIBISCUS (EPSMR)</v>
      </c>
      <c r="C7426" t="s">
        <v>75</v>
      </c>
    </row>
    <row r="7427" spans="1:3" x14ac:dyDescent="0.25">
      <c r="A7427" t="str">
        <f>"970406880"</f>
        <v>970406880</v>
      </c>
      <c r="B7427" t="str">
        <f>"EHPAD PGRA DE BRAS LONG"</f>
        <v>EHPAD PGRA DE BRAS LONG</v>
      </c>
      <c r="C7427" t="s">
        <v>75</v>
      </c>
    </row>
    <row r="7428" spans="1:3" x14ac:dyDescent="0.25">
      <c r="A7428" t="str">
        <f>"970406898"</f>
        <v>970406898</v>
      </c>
      <c r="B7428" t="str">
        <f>"EHPAD PGRA DE RAVINE BLANCHE"</f>
        <v>EHPAD PGRA DE RAVINE BLANCHE</v>
      </c>
      <c r="C7428" t="s">
        <v>75</v>
      </c>
    </row>
    <row r="7429" spans="1:3" x14ac:dyDescent="0.25">
      <c r="A7429" t="str">
        <f>"970407201"</f>
        <v>970407201</v>
      </c>
      <c r="B7429" t="str">
        <f>"RESIDENCE SAINT-PIERRE"</f>
        <v>RESIDENCE SAINT-PIERRE</v>
      </c>
      <c r="C7429" t="s">
        <v>75</v>
      </c>
    </row>
    <row r="7430" spans="1:3" x14ac:dyDescent="0.25">
      <c r="A7430" t="str">
        <f>"970408134"</f>
        <v>970408134</v>
      </c>
      <c r="B7430" t="str">
        <f>"EHPAD FABIEN LANAVE"</f>
        <v>EHPAD FABIEN LANAVE</v>
      </c>
      <c r="C7430" t="s">
        <v>75</v>
      </c>
    </row>
    <row r="7431" spans="1:3" x14ac:dyDescent="0.25">
      <c r="A7431" t="str">
        <f>"970408159"</f>
        <v>970408159</v>
      </c>
      <c r="B7431" t="str">
        <f>"EHPAD TERRAIN FLEURY"</f>
        <v>EHPAD TERRAIN FLEURY</v>
      </c>
      <c r="C7431" t="s">
        <v>75</v>
      </c>
    </row>
    <row r="7432" spans="1:3" x14ac:dyDescent="0.25">
      <c r="A7432" t="str">
        <f>"970410072"</f>
        <v>970410072</v>
      </c>
      <c r="B7432" t="str">
        <f>"EHPAD RESIDENCE AUDE"</f>
        <v>EHPAD RESIDENCE AUDE</v>
      </c>
      <c r="C7432" t="s">
        <v>75</v>
      </c>
    </row>
    <row r="7433" spans="1:3" x14ac:dyDescent="0.25">
      <c r="A7433" t="str">
        <f>"970410098"</f>
        <v>970410098</v>
      </c>
      <c r="B7433" t="str">
        <f>"ACCUEIL DE JOUR EST"</f>
        <v>ACCUEIL DE JOUR EST</v>
      </c>
      <c r="C7433" t="s">
        <v>75</v>
      </c>
    </row>
    <row r="7434" spans="1:3" x14ac:dyDescent="0.25">
      <c r="A7434" t="str">
        <f>"970430823"</f>
        <v>970430823</v>
      </c>
      <c r="B7434" t="str">
        <f>"EHPAD PGRA DE BOIS D'OLIVES"</f>
        <v>EHPAD PGRA DE BOIS D'OLIVES</v>
      </c>
      <c r="C7434" t="s">
        <v>75</v>
      </c>
    </row>
    <row r="7435" spans="1:3" x14ac:dyDescent="0.25">
      <c r="A7435" t="str">
        <f>"970430872"</f>
        <v>970430872</v>
      </c>
      <c r="B7435" t="str">
        <f>"E.H.P.A.D. 'VILLAGE 3ÉME AGE'"</f>
        <v>E.H.P.A.D. 'VILLAGE 3ÉME AGE'</v>
      </c>
      <c r="C7435" t="s">
        <v>75</v>
      </c>
    </row>
    <row r="7436" spans="1:3" x14ac:dyDescent="0.25">
      <c r="A7436" t="str">
        <f>"970430971"</f>
        <v>970430971</v>
      </c>
      <c r="B7436" t="str">
        <f>"EHPAD SAINT-FRANÇOIS"</f>
        <v>EHPAD SAINT-FRANÇOIS</v>
      </c>
      <c r="C7436" t="s">
        <v>75</v>
      </c>
    </row>
    <row r="7437" spans="1:3" x14ac:dyDescent="0.25">
      <c r="A7437" t="str">
        <f>"970463048"</f>
        <v>970463048</v>
      </c>
      <c r="B7437" t="str">
        <f>"EHPAD DE SAINT-LOUIS"</f>
        <v>EHPAD DE SAINT-LOUIS</v>
      </c>
      <c r="C7437" t="s">
        <v>75</v>
      </c>
    </row>
    <row r="7438" spans="1:3" x14ac:dyDescent="0.25">
      <c r="A7438" t="str">
        <f>"970463055"</f>
        <v>970463055</v>
      </c>
      <c r="B7438" t="str">
        <f>"EHPAD GABRIEL MARTIN"</f>
        <v>EHPAD GABRIEL MARTIN</v>
      </c>
      <c r="C7438" t="s">
        <v>75</v>
      </c>
    </row>
    <row r="7439" spans="1:3" x14ac:dyDescent="0.25">
      <c r="A7439" t="str">
        <f>"970463063"</f>
        <v>970463063</v>
      </c>
      <c r="B7439" t="str">
        <f>"EHPAD DE SAINT-JOSEPH"</f>
        <v>EHPAD DE SAINT-JOSEPH</v>
      </c>
      <c r="C7439" t="s">
        <v>75</v>
      </c>
    </row>
    <row r="7440" spans="1:3" x14ac:dyDescent="0.25">
      <c r="A7440" t="str">
        <f>"970466256"</f>
        <v>970466256</v>
      </c>
      <c r="B7440" t="str">
        <f>"EHPAD RESIDENCE ASTERIA"</f>
        <v>EHPAD RESIDENCE ASTERIA</v>
      </c>
      <c r="C7440" t="s">
        <v>75</v>
      </c>
    </row>
    <row r="7441" spans="1:3" x14ac:dyDescent="0.25">
      <c r="A7441" t="str">
        <f>"970466652"</f>
        <v>970466652</v>
      </c>
      <c r="B7441" t="str">
        <f>"E.H.P.A.D. LE MOUTARDIER"</f>
        <v>E.H.P.A.D. LE MOUTARDIER</v>
      </c>
      <c r="C7441" t="s">
        <v>75</v>
      </c>
    </row>
    <row r="7442" spans="1:3" x14ac:dyDescent="0.25">
      <c r="A7442" t="str">
        <f>"970466728"</f>
        <v>970466728</v>
      </c>
      <c r="B7442" t="str">
        <f>"E. H. P. A. D.  CLOVIS HOARAU"</f>
        <v>E. H. P. A. D.  CLOVIS HOARAU</v>
      </c>
      <c r="C7442" t="s">
        <v>75</v>
      </c>
    </row>
    <row r="7443" spans="1:3" x14ac:dyDescent="0.25">
      <c r="A7443" t="str">
        <f>"970500229"</f>
        <v>970500229</v>
      </c>
      <c r="B7443" t="str">
        <f>"MAISON EGLANTINE"</f>
        <v>MAISON EGLANTINE</v>
      </c>
      <c r="C7443" s="9" t="s">
        <v>67</v>
      </c>
    </row>
    <row r="7444" spans="1:3" x14ac:dyDescent="0.25">
      <c r="A7444" t="str">
        <f>"2A0000253"</f>
        <v>2A0000253</v>
      </c>
      <c r="B7444" t="str">
        <f>"EHPAD LE CISTE"</f>
        <v>EHPAD LE CISTE</v>
      </c>
      <c r="C7444" t="s">
        <v>66</v>
      </c>
    </row>
    <row r="7445" spans="1:3" x14ac:dyDescent="0.25">
      <c r="A7445" t="str">
        <f>"2A0000436"</f>
        <v>2A0000436</v>
      </c>
      <c r="B7445" t="str">
        <f>"EHPAD DE PORTO VECCHIO"</f>
        <v>EHPAD DE PORTO VECCHIO</v>
      </c>
      <c r="C7445" t="s">
        <v>66</v>
      </c>
    </row>
    <row r="7446" spans="1:3" x14ac:dyDescent="0.25">
      <c r="A7446" t="str">
        <f>"2A0000899"</f>
        <v>2A0000899</v>
      </c>
      <c r="B7446" t="str">
        <f>"EHPAD DE SAINTE CECILE"</f>
        <v>EHPAD DE SAINTE CECILE</v>
      </c>
      <c r="C7446" t="s">
        <v>66</v>
      </c>
    </row>
    <row r="7447" spans="1:3" x14ac:dyDescent="0.25">
      <c r="A7447" t="str">
        <f>"2A0001228"</f>
        <v>2A0001228</v>
      </c>
      <c r="B7447" t="str">
        <f>"EHPAD NOEL SARROLA"</f>
        <v>EHPAD NOEL SARROLA</v>
      </c>
      <c r="C7447" t="s">
        <v>66</v>
      </c>
    </row>
    <row r="7448" spans="1:3" x14ac:dyDescent="0.25">
      <c r="A7448" t="str">
        <f>"2A0001798"</f>
        <v>2A0001798</v>
      </c>
      <c r="B7448" t="str">
        <f>"EHPAD L'OLIVIER BLEU"</f>
        <v>EHPAD L'OLIVIER BLEU</v>
      </c>
      <c r="C7448" t="s">
        <v>66</v>
      </c>
    </row>
    <row r="7449" spans="1:3" x14ac:dyDescent="0.25">
      <c r="A7449" t="str">
        <f>"2A0002978"</f>
        <v>2A0002978</v>
      </c>
      <c r="B7449" t="str">
        <f>"EHPAD VALLE LONGA CAURO"</f>
        <v>EHPAD VALLE LONGA CAURO</v>
      </c>
      <c r="C7449" t="s">
        <v>66</v>
      </c>
    </row>
    <row r="7450" spans="1:3" x14ac:dyDescent="0.25">
      <c r="A7450" t="str">
        <f>"2A0003273"</f>
        <v>2A0003273</v>
      </c>
      <c r="B7450" t="str">
        <f>"EHPAD DE BONIFACIO"</f>
        <v>EHPAD DE BONIFACIO</v>
      </c>
      <c r="C7450" t="s">
        <v>66</v>
      </c>
    </row>
    <row r="7451" spans="1:3" x14ac:dyDescent="0.25">
      <c r="A7451" t="str">
        <f>"2A0003281"</f>
        <v>2A0003281</v>
      </c>
      <c r="B7451" t="str">
        <f>"EHPAD DU CH AJACCIO"</f>
        <v>EHPAD DU CH AJACCIO</v>
      </c>
      <c r="C7451" t="s">
        <v>66</v>
      </c>
    </row>
    <row r="7452" spans="1:3" x14ac:dyDescent="0.25">
      <c r="A7452" t="str">
        <f>"2A0003521"</f>
        <v>2A0003521</v>
      </c>
      <c r="B7452" t="str">
        <f>"EHPAD SARTENE"</f>
        <v>EHPAD SARTENE</v>
      </c>
      <c r="C7452" t="s">
        <v>66</v>
      </c>
    </row>
    <row r="7453" spans="1:3" x14ac:dyDescent="0.25">
      <c r="A7453" t="str">
        <f>"2A0003612"</f>
        <v>2A0003612</v>
      </c>
      <c r="B7453" t="str">
        <f>"EHPAD VALLE LONGA - CARGESE"</f>
        <v>EHPAD VALLE LONGA - CARGESE</v>
      </c>
      <c r="C7453" t="s">
        <v>66</v>
      </c>
    </row>
    <row r="7454" spans="1:3" x14ac:dyDescent="0.25">
      <c r="A7454" t="str">
        <f>"2A0022570"</f>
        <v>2A0022570</v>
      </c>
      <c r="B7454" t="str">
        <f>"EHPAD CASA SERENA 2A"</f>
        <v>EHPAD CASA SERENA 2A</v>
      </c>
      <c r="C7454" t="s">
        <v>66</v>
      </c>
    </row>
    <row r="7455" spans="1:3" x14ac:dyDescent="0.25">
      <c r="A7455" t="str">
        <f>"2A0022851"</f>
        <v>2A0022851</v>
      </c>
      <c r="B7455" t="str">
        <f>"EHPAD MAISON JEANNE D'ARC"</f>
        <v>EHPAD MAISON JEANNE D'ARC</v>
      </c>
      <c r="C7455" t="s">
        <v>66</v>
      </c>
    </row>
    <row r="7456" spans="1:3" x14ac:dyDescent="0.25">
      <c r="A7456" t="str">
        <f>"2A0023099"</f>
        <v>2A0023099</v>
      </c>
      <c r="B7456" t="str">
        <f>"EHPAD VALLE LONGA ALTA ROCCA"</f>
        <v>EHPAD VALLE LONGA ALTA ROCCA</v>
      </c>
      <c r="C7456" t="s">
        <v>66</v>
      </c>
    </row>
    <row r="7457" spans="1:3" x14ac:dyDescent="0.25">
      <c r="A7457" t="str">
        <f>"2A0023545"</f>
        <v>2A0023545</v>
      </c>
      <c r="B7457" t="str">
        <f>"EHPAD AGOSTA"</f>
        <v>EHPAD AGOSTA</v>
      </c>
      <c r="C7457" t="s">
        <v>66</v>
      </c>
    </row>
    <row r="7458" spans="1:3" x14ac:dyDescent="0.25">
      <c r="A7458" t="str">
        <f>"2B0000442"</f>
        <v>2B0000442</v>
      </c>
      <c r="B7458" t="str">
        <f>"EHPAD LA CHENAIE"</f>
        <v>EHPAD LA CHENAIE</v>
      </c>
      <c r="C7458" t="s">
        <v>66</v>
      </c>
    </row>
    <row r="7459" spans="1:3" x14ac:dyDescent="0.25">
      <c r="A7459" t="str">
        <f>"2B0000459"</f>
        <v>2B0000459</v>
      </c>
      <c r="B7459" t="str">
        <f>"EHPAD MAISON NOTRE DAME"</f>
        <v>EHPAD MAISON NOTRE DAME</v>
      </c>
      <c r="C7459" t="s">
        <v>66</v>
      </c>
    </row>
    <row r="7460" spans="1:3" x14ac:dyDescent="0.25">
      <c r="A7460" t="str">
        <f>"2B0000939"</f>
        <v>2B0000939</v>
      </c>
      <c r="B7460" t="str">
        <f>"EHPAD CASA SERENA 2B"</f>
        <v>EHPAD CASA SERENA 2B</v>
      </c>
      <c r="C7460" t="s">
        <v>66</v>
      </c>
    </row>
    <row r="7461" spans="1:3" x14ac:dyDescent="0.25">
      <c r="A7461" t="str">
        <f>"2B0001341"</f>
        <v>2B0001341</v>
      </c>
      <c r="B7461" t="str">
        <f>"EHPAD SAINT ANDRE"</f>
        <v>EHPAD SAINT ANDRE</v>
      </c>
      <c r="C7461" t="s">
        <v>66</v>
      </c>
    </row>
    <row r="7462" spans="1:3" x14ac:dyDescent="0.25">
      <c r="A7462" t="str">
        <f>"2B0003057"</f>
        <v>2B0003057</v>
      </c>
      <c r="B7462" t="str">
        <f>"EHPAD L'AGE D'OR"</f>
        <v>EHPAD L'AGE D'OR</v>
      </c>
      <c r="C7462" t="s">
        <v>66</v>
      </c>
    </row>
    <row r="7463" spans="1:3" x14ac:dyDescent="0.25">
      <c r="A7463" t="str">
        <f>"2B0003073"</f>
        <v>2B0003073</v>
      </c>
      <c r="B7463" t="str">
        <f>"EHPAD STE FAMILLE"</f>
        <v>EHPAD STE FAMILLE</v>
      </c>
      <c r="C7463" t="s">
        <v>66</v>
      </c>
    </row>
    <row r="7464" spans="1:3" x14ac:dyDescent="0.25">
      <c r="A7464" t="str">
        <f>"2B0003107"</f>
        <v>2B0003107</v>
      </c>
      <c r="B7464" t="str">
        <f>"EHPAD U SERENU"</f>
        <v>EHPAD U SERENU</v>
      </c>
      <c r="C7464" t="s">
        <v>66</v>
      </c>
    </row>
    <row r="7465" spans="1:3" x14ac:dyDescent="0.25">
      <c r="A7465" t="str">
        <f>"2B0003628"</f>
        <v>2B0003628</v>
      </c>
      <c r="B7465" t="str">
        <f>"EHPAD CH BASTIA"</f>
        <v>EHPAD CH BASTIA</v>
      </c>
      <c r="C7465" t="s">
        <v>66</v>
      </c>
    </row>
    <row r="7466" spans="1:3" x14ac:dyDescent="0.25">
      <c r="A7466" t="str">
        <f>"2B0003636"</f>
        <v>2B0003636</v>
      </c>
      <c r="B7466" t="str">
        <f>"EHPAD A ZIGLIA"</f>
        <v>EHPAD A ZIGLIA</v>
      </c>
      <c r="C7466" t="s">
        <v>66</v>
      </c>
    </row>
    <row r="7467" spans="1:3" x14ac:dyDescent="0.25">
      <c r="A7467" t="str">
        <f>"2B0003701"</f>
        <v>2B0003701</v>
      </c>
      <c r="B7467" t="str">
        <f>"EHPAD SAINTE THERESE"</f>
        <v>EHPAD SAINTE THERESE</v>
      </c>
      <c r="C7467" t="s">
        <v>66</v>
      </c>
    </row>
    <row r="7468" spans="1:3" x14ac:dyDescent="0.25">
      <c r="A7468" t="str">
        <f>"2B0003784"</f>
        <v>2B0003784</v>
      </c>
      <c r="B7468" t="str">
        <f>"EHPAD DE TATTONE"</f>
        <v>EHPAD DE TATTONE</v>
      </c>
      <c r="C7468" t="s">
        <v>66</v>
      </c>
    </row>
    <row r="7469" spans="1:3" x14ac:dyDescent="0.25">
      <c r="A7469" t="str">
        <f>"2B0004238"</f>
        <v>2B0004238</v>
      </c>
      <c r="B7469" t="str">
        <f>"EHPAD RESIDENCE EUGENIA"</f>
        <v>EHPAD RESIDENCE EUGENIA</v>
      </c>
      <c r="C7469" t="s">
        <v>66</v>
      </c>
    </row>
    <row r="7470" spans="1:3" x14ac:dyDescent="0.25">
      <c r="A7470" t="str">
        <f>"2B0004378"</f>
        <v>2B0004378</v>
      </c>
      <c r="B7470" t="str">
        <f>"MARIS STELLA MAISON DE RETRAITE"</f>
        <v>MARIS STELLA MAISON DE RETRAITE</v>
      </c>
      <c r="C7470" t="s">
        <v>66</v>
      </c>
    </row>
    <row r="7471" spans="1:3" x14ac:dyDescent="0.25">
      <c r="A7471" t="str">
        <f>"2B0004618"</f>
        <v>2B0004618</v>
      </c>
      <c r="B7471" t="str">
        <f>"EHPAD RESIDENCE PIERRE BOCOGNANO"</f>
        <v>EHPAD RESIDENCE PIERRE BOCOGNANO</v>
      </c>
      <c r="C7471" t="s">
        <v>66</v>
      </c>
    </row>
    <row r="7472" spans="1:3" x14ac:dyDescent="0.25">
      <c r="A7472" t="str">
        <f>"2B0004634"</f>
        <v>2B0004634</v>
      </c>
      <c r="B7472" t="str">
        <f>"EHPAD SAINTE DEVOTE"</f>
        <v>EHPAD SAINTE DEVOTE</v>
      </c>
      <c r="C7472" t="s">
        <v>66</v>
      </c>
    </row>
  </sheetData>
  <sheetProtection algorithmName="SHA-512" hashValue="FfwG+nQqV2Xlf5AS/IB91NiaCG/lkhOngBAOsbQRLaxVB+XgnRnchOsO71+eK2ZfWRbCEnk5FMoXCrOX8C5d/g==" saltValue="rrXbrFUdX1KUsBHZVENziw==" spinCount="100000" sheet="1" objects="1" scenarios="1"/>
  <sortState ref="A2:F7771">
    <sortCondition ref="A2:A777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Etablissement</vt:lpstr>
      <vt:lpstr>Relevé des soins</vt:lpstr>
      <vt:lpstr>Visites</vt:lpstr>
      <vt:lpstr>codage</vt:lpstr>
      <vt:lpstr>liste ehpad</vt:lpstr>
    </vt:vector>
  </TitlesOfParts>
  <Company>CHRU Nancy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BRANDMEYER Olivia</dc:creator>
  <cp:lastModifiedBy>Gabriel</cp:lastModifiedBy>
  <cp:lastPrinted>2023-03-30T09:19:12Z</cp:lastPrinted>
  <dcterms:created xsi:type="dcterms:W3CDTF">2022-10-14T09:18:33Z</dcterms:created>
  <dcterms:modified xsi:type="dcterms:W3CDTF">2023-03-30T13:51:45Z</dcterms:modified>
</cp:coreProperties>
</file>